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00" yWindow="260" windowWidth="27100" windowHeight="21440" activeTab="0"/>
  </bookViews>
  <sheets>
    <sheet name="nº reemplazos" sheetId="1" r:id="rId1"/>
    <sheet name="EPP" sheetId="2" state="hidden" r:id="rId2"/>
    <sheet name="LIP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thecheese</author>
  </authors>
  <commentList>
    <comment ref="G17" authorId="0">
      <text>
        <r>
          <rPr>
            <sz val="9"/>
            <rFont val="Tahoma"/>
            <family val="2"/>
          </rPr>
          <t>Needed Replacements:
1. 30% Adults Every Year
2. Not all Heifers Reach Adult Cows</t>
        </r>
      </text>
    </comment>
  </commentList>
</comments>
</file>

<file path=xl/sharedStrings.xml><?xml version="1.0" encoding="utf-8"?>
<sst xmlns="http://schemas.openxmlformats.org/spreadsheetml/2006/main" count="76" uniqueCount="62">
  <si>
    <t>24 meses</t>
  </si>
  <si>
    <t>Por preñar</t>
  </si>
  <si>
    <t>Preñadas acumuladas</t>
  </si>
  <si>
    <t>Edad primer IA</t>
  </si>
  <si>
    <t>TDC</t>
  </si>
  <si>
    <t>TC</t>
  </si>
  <si>
    <t>TP</t>
  </si>
  <si>
    <t>Vacas</t>
  </si>
  <si>
    <t>Animales de Reemplazo</t>
  </si>
  <si>
    <t>TReemp</t>
  </si>
  <si>
    <t>Corr.x Mortalidad</t>
  </si>
  <si>
    <t>TMort</t>
  </si>
  <si>
    <t>Corr x E 1er P</t>
  </si>
  <si>
    <t>Partos de vaca año</t>
  </si>
  <si>
    <t>Fertilidad IB</t>
  </si>
  <si>
    <t xml:space="preserve"> % Preñadas</t>
  </si>
  <si>
    <t>AB</t>
  </si>
  <si>
    <t>Vaq. Preñadas</t>
  </si>
  <si>
    <t xml:space="preserve">PVE </t>
  </si>
  <si>
    <t>DEL</t>
  </si>
  <si>
    <t>Preñeces</t>
  </si>
  <si>
    <t>Saldo</t>
  </si>
  <si>
    <t>Preñes Acum</t>
  </si>
  <si>
    <t>LPP</t>
  </si>
  <si>
    <t>Dias preñez</t>
  </si>
  <si>
    <t>LIP</t>
  </si>
  <si>
    <t>Acum</t>
  </si>
  <si>
    <t>Dias 1ser</t>
  </si>
  <si>
    <t>L1er Serv</t>
  </si>
  <si>
    <t>IA</t>
  </si>
  <si>
    <t>NO IA</t>
  </si>
  <si>
    <t>Meses</t>
  </si>
  <si>
    <t>Partos por vaca por año</t>
  </si>
  <si>
    <t>Tamaño del Rebaño</t>
  </si>
  <si>
    <t>(# Vacas Adultas)</t>
  </si>
  <si>
    <t>(%/anual)</t>
  </si>
  <si>
    <t>Edad Promedio al primer parto</t>
  </si>
  <si>
    <t>(meses)</t>
  </si>
  <si>
    <t>% Eliminación Vacas adultas</t>
  </si>
  <si>
    <t>Necesidad de Reemplazos</t>
  </si>
  <si>
    <t>(# Animales)</t>
  </si>
  <si>
    <t>Tasa de Eliminación de Vacas</t>
  </si>
  <si>
    <t>Tasa</t>
  </si>
  <si>
    <t>Eliminación</t>
  </si>
  <si>
    <t>Terneras -</t>
  </si>
  <si>
    <t>Vaquillas</t>
  </si>
  <si>
    <t>Tasa de Eliminación Rebaño</t>
  </si>
  <si>
    <t>Edad</t>
  </si>
  <si>
    <t xml:space="preserve">al </t>
  </si>
  <si>
    <t>Primer</t>
  </si>
  <si>
    <t>Parto</t>
  </si>
  <si>
    <t>Tasa de Eliminación de Reemplazos</t>
  </si>
  <si>
    <t>Vacas improductivas</t>
  </si>
  <si>
    <t>PEV</t>
  </si>
  <si>
    <t>Vacas improductivas reproductivamente</t>
  </si>
  <si>
    <t>(N° Animales/año)</t>
  </si>
  <si>
    <t>Lapso Inter Parto (días)</t>
  </si>
  <si>
    <t xml:space="preserve">% Eliminación de Reemplazos </t>
  </si>
  <si>
    <t>TC vaquillas</t>
  </si>
  <si>
    <t>TDC vaquillas</t>
  </si>
  <si>
    <t>TC Vacas</t>
  </si>
  <si>
    <t>TDC vacas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</si>
</sst>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%"/>
    <numFmt numFmtId="186" formatCode="0.0000000"/>
    <numFmt numFmtId="187" formatCode="_(* #,##0_);_(* \(#,##0\);_(* &quot;-&quot;??_);_(@_)"/>
    <numFmt numFmtId="188" formatCode="_(* #,##0.0_);_(* \(#,##0.0\);_(* &quot;-&quot;??_);_(@_)"/>
    <numFmt numFmtId="189" formatCode="_-* #,##0.0_-;\-* #,##0.0_-;_-* &quot;-&quot;??_-;_-@_-"/>
    <numFmt numFmtId="190" formatCode="_-* #,##0_-;\-* #,##0_-;_-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9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Bookman Old Style"/>
      <family val="1"/>
    </font>
    <font>
      <sz val="8"/>
      <color indexed="8"/>
      <name val="Calibri"/>
      <family val="2"/>
    </font>
    <font>
      <sz val="6.75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0"/>
    </font>
    <font>
      <b/>
      <sz val="8"/>
      <color indexed="8"/>
      <name val="Calibri"/>
      <family val="0"/>
    </font>
    <font>
      <b/>
      <sz val="9.6"/>
      <color indexed="8"/>
      <name val="Calibri"/>
      <family val="0"/>
    </font>
    <font>
      <sz val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2" borderId="0" applyNumberFormat="0" applyBorder="0" applyAlignment="0" applyProtection="0"/>
    <xf numFmtId="0" fontId="34" fillId="20" borderId="0" applyNumberFormat="0" applyBorder="0" applyAlignment="0" applyProtection="0"/>
    <xf numFmtId="0" fontId="34" fillId="25" borderId="0" applyNumberFormat="0" applyBorder="0" applyAlignment="0" applyProtection="0"/>
    <xf numFmtId="0" fontId="34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9" borderId="0" applyNumberFormat="0" applyBorder="0" applyAlignment="0" applyProtection="0"/>
    <xf numFmtId="0" fontId="12" fillId="3" borderId="0" applyNumberFormat="0" applyBorder="0" applyAlignment="0" applyProtection="0"/>
    <xf numFmtId="0" fontId="7" fillId="30" borderId="1" applyNumberFormat="0" applyAlignment="0" applyProtection="0"/>
    <xf numFmtId="0" fontId="35" fillId="31" borderId="2" applyNumberFormat="0" applyAlignment="0" applyProtection="0"/>
    <xf numFmtId="0" fontId="8" fillId="32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1" fillId="7" borderId="1" applyNumberFormat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0" fontId="37" fillId="40" borderId="0" applyNumberFormat="0" applyBorder="0" applyAlignment="0" applyProtection="0"/>
    <xf numFmtId="0" fontId="0" fillId="41" borderId="8" applyNumberFormat="0" applyFont="0" applyAlignment="0" applyProtection="0"/>
    <xf numFmtId="0" fontId="13" fillId="30" borderId="9" applyNumberFormat="0" applyAlignment="0" applyProtection="0"/>
    <xf numFmtId="9" fontId="0" fillId="0" borderId="0" applyFont="0" applyFill="0" applyBorder="0" applyAlignment="0" applyProtection="0"/>
    <xf numFmtId="0" fontId="38" fillId="31" borderId="10" applyNumberFormat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1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85" fontId="0" fillId="0" borderId="0" xfId="86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42" borderId="0" xfId="0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0" fillId="0" borderId="20" xfId="0" applyNumberFormat="1" applyBorder="1" applyAlignment="1">
      <alignment/>
    </xf>
    <xf numFmtId="1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10" fontId="0" fillId="0" borderId="0" xfId="86" applyNumberFormat="1" applyFont="1" applyBorder="1" applyAlignment="1">
      <alignment/>
    </xf>
    <xf numFmtId="9" fontId="19" fillId="0" borderId="24" xfId="0" applyNumberFormat="1" applyFont="1" applyBorder="1" applyAlignment="1">
      <alignment/>
    </xf>
    <xf numFmtId="0" fontId="19" fillId="0" borderId="22" xfId="0" applyFont="1" applyBorder="1" applyAlignment="1">
      <alignment horizontal="right"/>
    </xf>
    <xf numFmtId="9" fontId="19" fillId="0" borderId="25" xfId="0" applyNumberFormat="1" applyFont="1" applyBorder="1" applyAlignment="1">
      <alignment horizontal="right"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30" xfId="0" applyNumberFormat="1" applyBorder="1" applyAlignment="1">
      <alignment/>
    </xf>
    <xf numFmtId="1" fontId="0" fillId="13" borderId="0" xfId="0" applyNumberFormat="1" applyFill="1" applyBorder="1" applyAlignment="1">
      <alignment/>
    </xf>
    <xf numFmtId="1" fontId="0" fillId="0" borderId="31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32" xfId="0" applyNumberFormat="1" applyBorder="1" applyAlignment="1">
      <alignment/>
    </xf>
    <xf numFmtId="187" fontId="19" fillId="0" borderId="25" xfId="82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0" fillId="42" borderId="33" xfId="0" applyFill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85" fontId="0" fillId="0" borderId="33" xfId="86" applyNumberFormat="1" applyFont="1" applyBorder="1" applyAlignment="1">
      <alignment/>
    </xf>
    <xf numFmtId="1" fontId="0" fillId="0" borderId="33" xfId="0" applyNumberFormat="1" applyBorder="1" applyAlignment="1">
      <alignment/>
    </xf>
    <xf numFmtId="2" fontId="0" fillId="0" borderId="33" xfId="0" applyNumberFormat="1" applyBorder="1" applyAlignment="1">
      <alignment/>
    </xf>
    <xf numFmtId="185" fontId="0" fillId="0" borderId="0" xfId="86" applyNumberFormat="1" applyFont="1" applyBorder="1" applyAlignment="1">
      <alignment/>
    </xf>
    <xf numFmtId="171" fontId="0" fillId="42" borderId="0" xfId="61" applyFont="1" applyFill="1" applyAlignment="1">
      <alignment/>
    </xf>
    <xf numFmtId="0" fontId="21" fillId="43" borderId="3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81" fontId="0" fillId="0" borderId="33" xfId="0" applyNumberFormat="1" applyBorder="1" applyAlignment="1">
      <alignment/>
    </xf>
    <xf numFmtId="9" fontId="3" fillId="42" borderId="0" xfId="0" applyNumberFormat="1" applyFont="1" applyFill="1" applyAlignment="1">
      <alignment horizontal="center"/>
    </xf>
    <xf numFmtId="180" fontId="22" fillId="43" borderId="33" xfId="0" applyNumberFormat="1" applyFont="1" applyFill="1" applyBorder="1" applyAlignment="1">
      <alignment/>
    </xf>
    <xf numFmtId="1" fontId="22" fillId="43" borderId="33" xfId="0" applyNumberFormat="1" applyFont="1" applyFill="1" applyBorder="1" applyAlignment="1">
      <alignment/>
    </xf>
    <xf numFmtId="0" fontId="3" fillId="42" borderId="0" xfId="0" applyFont="1" applyFill="1" applyAlignment="1">
      <alignment horizontal="center"/>
    </xf>
    <xf numFmtId="171" fontId="3" fillId="42" borderId="0" xfId="61" applyFont="1" applyFill="1" applyAlignment="1">
      <alignment horizontal="center"/>
    </xf>
    <xf numFmtId="0" fontId="23" fillId="43" borderId="0" xfId="0" applyFont="1" applyFill="1" applyAlignment="1">
      <alignment horizontal="center"/>
    </xf>
    <xf numFmtId="190" fontId="0" fillId="42" borderId="33" xfId="61" applyNumberFormat="1" applyFont="1" applyFill="1" applyBorder="1" applyAlignment="1" applyProtection="1">
      <alignment/>
      <protection locked="0"/>
    </xf>
    <xf numFmtId="171" fontId="0" fillId="42" borderId="33" xfId="61" applyFont="1" applyFill="1" applyBorder="1" applyAlignment="1" applyProtection="1">
      <alignment/>
      <protection locked="0"/>
    </xf>
    <xf numFmtId="9" fontId="0" fillId="42" borderId="33" xfId="0" applyNumberFormat="1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187" fontId="0" fillId="0" borderId="0" xfId="0" applyNumberFormat="1" applyBorder="1" applyAlignment="1">
      <alignment/>
    </xf>
    <xf numFmtId="9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189" fontId="0" fillId="42" borderId="33" xfId="61" applyNumberFormat="1" applyFont="1" applyFill="1" applyBorder="1" applyAlignment="1" applyProtection="1">
      <alignment/>
      <protection locked="0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álculo" xfId="59"/>
    <cellStyle name="Check Cell" xfId="60"/>
    <cellStyle name="Comma" xfId="61"/>
    <cellStyle name="Comma [0]" xfId="62"/>
    <cellStyle name="Currency" xfId="63"/>
    <cellStyle name="Currency [0]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correcto" xfId="79"/>
    <cellStyle name="Input" xfId="80"/>
    <cellStyle name="Linked Cell" xfId="81"/>
    <cellStyle name="Millares_Heifer_Replacement" xfId="82"/>
    <cellStyle name="Neutral" xfId="83"/>
    <cellStyle name="Note" xfId="84"/>
    <cellStyle name="Output" xfId="85"/>
    <cellStyle name="Percent" xfId="86"/>
    <cellStyle name="Salida" xfId="87"/>
    <cellStyle name="Texto explicativo" xfId="88"/>
    <cellStyle name="Title" xfId="89"/>
    <cellStyle name="Título" xfId="90"/>
    <cellStyle name="Título 1" xfId="91"/>
    <cellStyle name="Título 2" xfId="92"/>
    <cellStyle name="Título 3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Tasa de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Eliminaci?n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 de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 Reemplazos</a:t>
            </a:r>
          </a:p>
        </c:rich>
      </c:tx>
      <c:layout>
        <c:manualLayout>
          <c:xMode val="factor"/>
          <c:yMode val="factor"/>
          <c:x val="0.3667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"/>
          <c:w val="0.648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'nº reemplazos'!$B$21</c:f>
              <c:strCache>
                <c:ptCount val="1"/>
                <c:pt idx="0">
                  <c:v>13%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reemplazos'!$C$20:$G$20</c:f>
              <c:numCache/>
            </c:numRef>
          </c:cat>
          <c:val>
            <c:numRef>
              <c:f>'nº reemplazos'!$C$21:$G$21</c:f>
              <c:numCache/>
            </c:numRef>
          </c:val>
        </c:ser>
        <c:ser>
          <c:idx val="1"/>
          <c:order val="1"/>
          <c:tx>
            <c:strRef>
              <c:f>'nº reemplazos'!$B$22</c:f>
              <c:strCache>
                <c:ptCount val="1"/>
                <c:pt idx="0">
                  <c:v>15%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reemplazos'!$C$20:$G$20</c:f>
              <c:numCache/>
            </c:numRef>
          </c:cat>
          <c:val>
            <c:numRef>
              <c:f>'nº reemplazos'!$C$22:$G$22</c:f>
              <c:numCache/>
            </c:numRef>
          </c:val>
        </c:ser>
        <c:ser>
          <c:idx val="2"/>
          <c:order val="2"/>
          <c:tx>
            <c:strRef>
              <c:f>'nº reemplazos'!$B$23</c:f>
              <c:strCache>
                <c:ptCount val="1"/>
                <c:pt idx="0">
                  <c:v>17%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reemplazos'!$C$20:$G$20</c:f>
              <c:numCache/>
            </c:numRef>
          </c:cat>
          <c:val>
            <c:numRef>
              <c:f>'nº reemplazos'!$C$23:$G$23</c:f>
              <c:numCache/>
            </c:numRef>
          </c:val>
        </c:ser>
        <c:ser>
          <c:idx val="3"/>
          <c:order val="3"/>
          <c:tx>
            <c:strRef>
              <c:f>'nº reemplazos'!$B$24</c:f>
              <c:strCache>
                <c:ptCount val="1"/>
                <c:pt idx="0">
                  <c:v>19%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reemplazos'!$C$20:$G$20</c:f>
              <c:numCache/>
            </c:numRef>
          </c:cat>
          <c:val>
            <c:numRef>
              <c:f>'nº reemplazos'!$C$24:$G$24</c:f>
              <c:numCache/>
            </c:numRef>
          </c:val>
        </c:ser>
        <c:ser>
          <c:idx val="4"/>
          <c:order val="4"/>
          <c:tx>
            <c:strRef>
              <c:f>'nº reemplazos'!$B$25</c:f>
              <c:strCache>
                <c:ptCount val="1"/>
                <c:pt idx="0">
                  <c:v>21%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reemplazos'!$C$20:$G$20</c:f>
              <c:numCache/>
            </c:numRef>
          </c:cat>
          <c:val>
            <c:numRef>
              <c:f>'nº reemplazos'!$C$25:$G$25</c:f>
              <c:numCache/>
            </c:numRef>
          </c:val>
        </c:ser>
        <c:axId val="35702896"/>
        <c:axId val="52890609"/>
      </c:barChart>
      <c:catAx>
        <c:axId val="35702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Tasa de Eliminaci?n Reba?o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890609"/>
        <c:crosses val="autoZero"/>
        <c:auto val="1"/>
        <c:lblOffset val="100"/>
        <c:tickLblSkip val="1"/>
        <c:noMultiLvlLbl val="0"/>
      </c:catAx>
      <c:valAx>
        <c:axId val="52890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Necesidad de Reemplazos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028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75"/>
          <c:y val="0.3545"/>
          <c:w val="0.07875"/>
          <c:h val="0.5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Edad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 Promedio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 al primer 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parto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(meses)</a:t>
            </a:r>
          </a:p>
        </c:rich>
      </c:tx>
      <c:layout>
        <c:manualLayout>
          <c:xMode val="factor"/>
          <c:yMode val="factor"/>
          <c:x val="0.4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-0.00225"/>
          <c:w val="0.6942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'nº reemplazos'!$B$30</c:f>
              <c:strCache>
                <c:ptCount val="1"/>
                <c:pt idx="0">
                  <c:v> 20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reemplazos'!$C$29:$G$29</c:f>
              <c:numCache/>
            </c:numRef>
          </c:cat>
          <c:val>
            <c:numRef>
              <c:f>'nº reemplazos'!$C$30:$G$30</c:f>
              <c:numCache/>
            </c:numRef>
          </c:val>
        </c:ser>
        <c:ser>
          <c:idx val="1"/>
          <c:order val="1"/>
          <c:tx>
            <c:strRef>
              <c:f>'nº reemplazos'!$B$31</c:f>
              <c:strCache>
                <c:ptCount val="1"/>
                <c:pt idx="0">
                  <c:v> 22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reemplazos'!$C$29:$G$29</c:f>
              <c:numCache/>
            </c:numRef>
          </c:cat>
          <c:val>
            <c:numRef>
              <c:f>'nº reemplazos'!$C$31:$G$31</c:f>
              <c:numCache/>
            </c:numRef>
          </c:val>
        </c:ser>
        <c:ser>
          <c:idx val="2"/>
          <c:order val="2"/>
          <c:tx>
            <c:strRef>
              <c:f>'nº reemplazos'!$B$32</c:f>
              <c:strCache>
                <c:ptCount val="1"/>
                <c:pt idx="0">
                  <c:v> 24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reemplazos'!$C$29:$G$29</c:f>
              <c:numCache/>
            </c:numRef>
          </c:cat>
          <c:val>
            <c:numRef>
              <c:f>'nº reemplazos'!$C$32:$G$32</c:f>
              <c:numCache/>
            </c:numRef>
          </c:val>
        </c:ser>
        <c:ser>
          <c:idx val="3"/>
          <c:order val="3"/>
          <c:tx>
            <c:strRef>
              <c:f>'nº reemplazos'!$B$33</c:f>
              <c:strCache>
                <c:ptCount val="1"/>
                <c:pt idx="0">
                  <c:v> 26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reemplazos'!$C$29:$G$29</c:f>
              <c:numCache/>
            </c:numRef>
          </c:cat>
          <c:val>
            <c:numRef>
              <c:f>'nº reemplazos'!$C$33:$G$33</c:f>
              <c:numCache/>
            </c:numRef>
          </c:val>
        </c:ser>
        <c:ser>
          <c:idx val="4"/>
          <c:order val="4"/>
          <c:tx>
            <c:strRef>
              <c:f>'nº reemplazos'!$B$34</c:f>
              <c:strCache>
                <c:ptCount val="1"/>
                <c:pt idx="0">
                  <c:v> 28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reemplazos'!$C$29:$G$29</c:f>
              <c:numCache/>
            </c:numRef>
          </c:cat>
          <c:val>
            <c:numRef>
              <c:f>'nº reemplazos'!$C$34:$G$34</c:f>
              <c:numCache/>
            </c:numRef>
          </c:val>
        </c:ser>
        <c:axId val="6253434"/>
        <c:axId val="56280907"/>
      </c:barChart>
      <c:catAx>
        <c:axId val="6253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Tasa de Eliminaci?n Reba?o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280907"/>
        <c:crosses val="autoZero"/>
        <c:auto val="1"/>
        <c:lblOffset val="100"/>
        <c:tickLblSkip val="1"/>
        <c:noMultiLvlLbl val="0"/>
      </c:catAx>
      <c:valAx>
        <c:axId val="56280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Necesidad de Reemplazos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3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75"/>
          <c:y val="0.476"/>
          <c:w val="0.07575"/>
          <c:h val="0.4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Edad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 Promedio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 al primer 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parto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(meses)</a:t>
            </a:r>
          </a:p>
        </c:rich>
      </c:tx>
      <c:layout>
        <c:manualLayout>
          <c:xMode val="factor"/>
          <c:yMode val="factor"/>
          <c:x val="0.404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625"/>
          <c:y val="-0.0015"/>
          <c:w val="0.644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'nº reemplazos'!$B$39</c:f>
              <c:strCache>
                <c:ptCount val="1"/>
                <c:pt idx="0">
                  <c:v> 20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reemplazos'!$C$38:$G$38</c:f>
              <c:numCache/>
            </c:numRef>
          </c:cat>
          <c:val>
            <c:numRef>
              <c:f>'nº reemplazos'!$C$39:$G$39</c:f>
              <c:numCache/>
            </c:numRef>
          </c:val>
        </c:ser>
        <c:ser>
          <c:idx val="1"/>
          <c:order val="1"/>
          <c:tx>
            <c:strRef>
              <c:f>'nº reemplazos'!$B$40</c:f>
              <c:strCache>
                <c:ptCount val="1"/>
                <c:pt idx="0">
                  <c:v> 22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reemplazos'!$C$38:$G$38</c:f>
              <c:numCache/>
            </c:numRef>
          </c:cat>
          <c:val>
            <c:numRef>
              <c:f>'nº reemplazos'!$C$40:$G$40</c:f>
              <c:numCache/>
            </c:numRef>
          </c:val>
        </c:ser>
        <c:ser>
          <c:idx val="2"/>
          <c:order val="2"/>
          <c:tx>
            <c:strRef>
              <c:f>'nº reemplazos'!$B$41</c:f>
              <c:strCache>
                <c:ptCount val="1"/>
                <c:pt idx="0">
                  <c:v> 24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reemplazos'!$C$38:$G$38</c:f>
              <c:numCache/>
            </c:numRef>
          </c:cat>
          <c:val>
            <c:numRef>
              <c:f>'nº reemplazos'!$C$41:$G$41</c:f>
              <c:numCache/>
            </c:numRef>
          </c:val>
        </c:ser>
        <c:ser>
          <c:idx val="3"/>
          <c:order val="3"/>
          <c:tx>
            <c:strRef>
              <c:f>'nº reemplazos'!$B$42</c:f>
              <c:strCache>
                <c:ptCount val="1"/>
                <c:pt idx="0">
                  <c:v> 26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reemplazos'!$C$38:$G$38</c:f>
              <c:numCache/>
            </c:numRef>
          </c:cat>
          <c:val>
            <c:numRef>
              <c:f>'nº reemplazos'!$C$42:$G$42</c:f>
              <c:numCache/>
            </c:numRef>
          </c:val>
        </c:ser>
        <c:ser>
          <c:idx val="4"/>
          <c:order val="4"/>
          <c:tx>
            <c:strRef>
              <c:f>'nº reemplazos'!$B$43</c:f>
              <c:strCache>
                <c:ptCount val="1"/>
                <c:pt idx="0">
                  <c:v> 28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reemplazos'!$C$38:$G$38</c:f>
              <c:numCache/>
            </c:numRef>
          </c:cat>
          <c:val>
            <c:numRef>
              <c:f>'nº reemplazos'!$C$43:$G$43</c:f>
              <c:numCache/>
            </c:numRef>
          </c:val>
        </c:ser>
        <c:axId val="36766116"/>
        <c:axId val="62459589"/>
      </c:barChart>
      <c:catAx>
        <c:axId val="36766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Tasa de Eliminaci?n de Reemplazos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459589"/>
        <c:crosses val="autoZero"/>
        <c:auto val="1"/>
        <c:lblOffset val="100"/>
        <c:tickLblSkip val="1"/>
        <c:noMultiLvlLbl val="0"/>
      </c:catAx>
      <c:valAx>
        <c:axId val="62459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Necesidad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de Reemplazos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66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48575"/>
          <c:w val="0.076"/>
          <c:h val="0.4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133350</xdr:rowOff>
    </xdr:from>
    <xdr:to>
      <xdr:col>8</xdr:col>
      <xdr:colOff>133350</xdr:colOff>
      <xdr:row>2</xdr:row>
      <xdr:rowOff>161925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3267075" y="133350"/>
          <a:ext cx="2962275" cy="361950"/>
        </a:xfrm>
        <a:prstGeom prst="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Vaquillas para Reemplazos</a:t>
          </a:r>
        </a:p>
      </xdr:txBody>
    </xdr:sp>
    <xdr:clientData/>
  </xdr:twoCellAnchor>
  <xdr:twoCellAnchor>
    <xdr:from>
      <xdr:col>4</xdr:col>
      <xdr:colOff>219075</xdr:colOff>
      <xdr:row>0</xdr:row>
      <xdr:rowOff>133350</xdr:rowOff>
    </xdr:from>
    <xdr:to>
      <xdr:col>8</xdr:col>
      <xdr:colOff>133350</xdr:colOff>
      <xdr:row>2</xdr:row>
      <xdr:rowOff>161925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3267075" y="133350"/>
          <a:ext cx="2962275" cy="361950"/>
        </a:xfrm>
        <a:prstGeom prst="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Vaquillas para Reemplazos</a:t>
          </a:r>
        </a:p>
      </xdr:txBody>
    </xdr:sp>
    <xdr:clientData/>
  </xdr:twoCellAnchor>
  <xdr:twoCellAnchor>
    <xdr:from>
      <xdr:col>7</xdr:col>
      <xdr:colOff>76200</xdr:colOff>
      <xdr:row>4</xdr:row>
      <xdr:rowOff>85725</xdr:rowOff>
    </xdr:from>
    <xdr:to>
      <xdr:col>11</xdr:col>
      <xdr:colOff>752475</xdr:colOff>
      <xdr:row>18</xdr:row>
      <xdr:rowOff>38100</xdr:rowOff>
    </xdr:to>
    <xdr:graphicFrame>
      <xdr:nvGraphicFramePr>
        <xdr:cNvPr id="3" name="Chart 9"/>
        <xdr:cNvGraphicFramePr/>
      </xdr:nvGraphicFramePr>
      <xdr:xfrm>
        <a:off x="5410200" y="762000"/>
        <a:ext cx="37242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19</xdr:row>
      <xdr:rowOff>76200</xdr:rowOff>
    </xdr:from>
    <xdr:to>
      <xdr:col>11</xdr:col>
      <xdr:colOff>704850</xdr:colOff>
      <xdr:row>33</xdr:row>
      <xdr:rowOff>142875</xdr:rowOff>
    </xdr:to>
    <xdr:graphicFrame>
      <xdr:nvGraphicFramePr>
        <xdr:cNvPr id="4" name="Chart 10"/>
        <xdr:cNvGraphicFramePr/>
      </xdr:nvGraphicFramePr>
      <xdr:xfrm>
        <a:off x="5372100" y="3181350"/>
        <a:ext cx="37147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34</xdr:row>
      <xdr:rowOff>9525</xdr:rowOff>
    </xdr:from>
    <xdr:to>
      <xdr:col>11</xdr:col>
      <xdr:colOff>695325</xdr:colOff>
      <xdr:row>49</xdr:row>
      <xdr:rowOff>38100</xdr:rowOff>
    </xdr:to>
    <xdr:graphicFrame>
      <xdr:nvGraphicFramePr>
        <xdr:cNvPr id="5" name="Chart 11"/>
        <xdr:cNvGraphicFramePr/>
      </xdr:nvGraphicFramePr>
      <xdr:xfrm>
        <a:off x="5372100" y="5400675"/>
        <a:ext cx="37052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4</xdr:row>
      <xdr:rowOff>38100</xdr:rowOff>
    </xdr:to>
    <xdr:pic>
      <xdr:nvPicPr>
        <xdr:cNvPr id="6" name="Picture 10" descr="dairyscience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628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0</xdr:row>
      <xdr:rowOff>57150</xdr:rowOff>
    </xdr:from>
    <xdr:to>
      <xdr:col>3</xdr:col>
      <xdr:colOff>209550</xdr:colOff>
      <xdr:row>3</xdr:row>
      <xdr:rowOff>28575</xdr:rowOff>
    </xdr:to>
    <xdr:pic>
      <xdr:nvPicPr>
        <xdr:cNvPr id="7" name="Picture 3" descr="UWEXlogo.gi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28650" y="57150"/>
          <a:ext cx="18669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0"/>
  <sheetViews>
    <sheetView tabSelected="1" workbookViewId="0" topLeftCell="A1">
      <selection activeCell="D7" sqref="D7"/>
    </sheetView>
  </sheetViews>
  <sheetFormatPr defaultColWidth="11.57421875" defaultRowHeight="12.75"/>
  <cols>
    <col min="1" max="7" width="11.421875" style="0" customWidth="1"/>
    <col min="8" max="16384" width="11.421875" style="0" customWidth="1"/>
  </cols>
  <sheetData>
    <row r="1" ht="13.5" thickBot="1"/>
    <row r="2" spans="1:12" ht="12.7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ht="13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7"/>
      <c r="L3" s="18">
        <f ca="1">TODAY()</f>
        <v>41157</v>
      </c>
    </row>
    <row r="4" ht="13.5" thickBot="1"/>
    <row r="5" spans="1:12" ht="12.7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12.75">
      <c r="A6" s="22" t="s">
        <v>53</v>
      </c>
      <c r="C6" s="20"/>
      <c r="D6" s="20"/>
      <c r="E6" s="20"/>
      <c r="F6" s="20"/>
      <c r="G6" s="57">
        <v>45</v>
      </c>
      <c r="H6" s="20"/>
      <c r="I6" s="20"/>
      <c r="J6" s="20"/>
      <c r="K6" s="20"/>
      <c r="L6" s="21"/>
    </row>
    <row r="7" spans="1:12" ht="12.75">
      <c r="A7" s="22" t="s">
        <v>3</v>
      </c>
      <c r="C7" s="20"/>
      <c r="D7" s="20"/>
      <c r="E7" s="20"/>
      <c r="F7" s="20"/>
      <c r="G7" s="65">
        <v>13.5</v>
      </c>
      <c r="H7" s="20"/>
      <c r="I7" s="20"/>
      <c r="J7" s="20"/>
      <c r="K7" s="20"/>
      <c r="L7" s="21"/>
    </row>
    <row r="8" spans="1:12" ht="12.75">
      <c r="A8" s="10" t="s">
        <v>60</v>
      </c>
      <c r="B8" s="58">
        <v>0.45</v>
      </c>
      <c r="C8" s="20"/>
      <c r="D8" s="20"/>
      <c r="E8" s="22" t="s">
        <v>58</v>
      </c>
      <c r="F8" s="20"/>
      <c r="G8" s="58">
        <v>0.7</v>
      </c>
      <c r="H8" s="20"/>
      <c r="I8" s="20"/>
      <c r="J8" s="20"/>
      <c r="K8" s="20"/>
      <c r="L8" s="21"/>
    </row>
    <row r="9" spans="1:12" ht="12.75">
      <c r="A9" s="64" t="s">
        <v>61</v>
      </c>
      <c r="B9" s="58">
        <v>0.5</v>
      </c>
      <c r="C9" s="20"/>
      <c r="D9" s="20"/>
      <c r="E9" s="22" t="s">
        <v>59</v>
      </c>
      <c r="F9" s="20"/>
      <c r="G9" s="58">
        <v>0.6</v>
      </c>
      <c r="H9" s="20"/>
      <c r="I9" s="20"/>
      <c r="J9" s="20"/>
      <c r="K9" s="20"/>
      <c r="L9" s="21"/>
    </row>
    <row r="10" spans="1:12" ht="12.75">
      <c r="A10" s="22" t="s">
        <v>33</v>
      </c>
      <c r="C10" s="20"/>
      <c r="D10" s="20"/>
      <c r="E10" s="22" t="s">
        <v>34</v>
      </c>
      <c r="F10" s="20"/>
      <c r="G10" s="40">
        <v>100</v>
      </c>
      <c r="H10" s="20"/>
      <c r="I10" s="20"/>
      <c r="J10" s="20"/>
      <c r="K10" s="20"/>
      <c r="L10" s="21"/>
    </row>
    <row r="11" spans="1:12" ht="12.75">
      <c r="A11" s="22" t="s">
        <v>57</v>
      </c>
      <c r="C11" s="20"/>
      <c r="D11" s="20"/>
      <c r="E11" s="22" t="s">
        <v>35</v>
      </c>
      <c r="F11" s="20"/>
      <c r="G11" s="59">
        <v>0.17</v>
      </c>
      <c r="H11" s="20"/>
      <c r="I11" s="20"/>
      <c r="J11" s="20"/>
      <c r="K11" s="20"/>
      <c r="L11" s="21"/>
    </row>
    <row r="12" spans="1:12" ht="12.75">
      <c r="A12" s="22" t="s">
        <v>38</v>
      </c>
      <c r="C12" s="20"/>
      <c r="D12" s="20"/>
      <c r="E12" s="22" t="s">
        <v>35</v>
      </c>
      <c r="F12" s="20"/>
      <c r="G12" s="59">
        <v>0.25</v>
      </c>
      <c r="H12" s="20"/>
      <c r="I12" s="20"/>
      <c r="J12" s="20"/>
      <c r="K12" s="20"/>
      <c r="L12" s="21"/>
    </row>
    <row r="13" spans="8:12" ht="12.75">
      <c r="H13" s="20"/>
      <c r="I13" s="20"/>
      <c r="J13" s="20"/>
      <c r="K13" s="20"/>
      <c r="L13" s="21"/>
    </row>
    <row r="14" spans="1:12" ht="12.75">
      <c r="A14" s="10" t="s">
        <v>56</v>
      </c>
      <c r="D14" s="60"/>
      <c r="E14" s="52">
        <f>+LIP!D19</f>
        <v>406.031746031746</v>
      </c>
      <c r="F14" s="60" t="s">
        <v>37</v>
      </c>
      <c r="G14" s="52">
        <f>+LIP!E19</f>
        <v>13.338756439939093</v>
      </c>
      <c r="H14" s="20"/>
      <c r="I14" s="20"/>
      <c r="J14" s="20"/>
      <c r="K14" s="20"/>
      <c r="L14" s="21"/>
    </row>
    <row r="15" spans="1:12" ht="12.75">
      <c r="A15" s="10" t="s">
        <v>54</v>
      </c>
      <c r="D15" s="60"/>
      <c r="E15" s="22" t="s">
        <v>55</v>
      </c>
      <c r="F15" s="60"/>
      <c r="G15" s="52">
        <f>+LIP!D21</f>
        <v>5.5</v>
      </c>
      <c r="H15" s="20"/>
      <c r="I15" s="20"/>
      <c r="J15" s="20"/>
      <c r="K15" s="20"/>
      <c r="L15" s="21"/>
    </row>
    <row r="16" spans="1:12" ht="12.75">
      <c r="A16" s="22" t="s">
        <v>36</v>
      </c>
      <c r="C16" s="20"/>
      <c r="D16" s="20"/>
      <c r="E16" s="22" t="s">
        <v>37</v>
      </c>
      <c r="F16" s="20"/>
      <c r="G16" s="52">
        <f>+EPP!K22</f>
        <v>24.423127463863338</v>
      </c>
      <c r="H16" s="20"/>
      <c r="I16" s="20"/>
      <c r="J16" s="20"/>
      <c r="K16" s="20"/>
      <c r="L16" s="21"/>
    </row>
    <row r="17" spans="1:12" ht="12.75">
      <c r="A17" s="22" t="s">
        <v>39</v>
      </c>
      <c r="C17" s="20"/>
      <c r="D17" s="20"/>
      <c r="E17" s="22" t="s">
        <v>40</v>
      </c>
      <c r="F17" s="20"/>
      <c r="G17" s="53">
        <f>(G10*G12*G16/12)*(1/(1-((G11/12)*G16)))</f>
        <v>77.79980510282334</v>
      </c>
      <c r="H17" s="20"/>
      <c r="I17" s="23"/>
      <c r="J17" s="24"/>
      <c r="K17" s="20"/>
      <c r="L17" s="21"/>
    </row>
    <row r="18" spans="1:12" ht="12.7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1"/>
    </row>
    <row r="19" spans="2:12" ht="12.75">
      <c r="B19" s="20"/>
      <c r="C19" s="1" t="s">
        <v>41</v>
      </c>
      <c r="D19" s="1"/>
      <c r="E19" s="1"/>
      <c r="F19" s="1"/>
      <c r="G19" s="1"/>
      <c r="H19" s="20"/>
      <c r="I19" s="20"/>
      <c r="J19" s="20"/>
      <c r="K19" s="20"/>
      <c r="L19" s="21"/>
    </row>
    <row r="20" spans="2:12" ht="12">
      <c r="B20" s="20"/>
      <c r="C20" s="25">
        <f>E20-10%</f>
        <v>0.15</v>
      </c>
      <c r="D20" s="25">
        <f>E20-5%</f>
        <v>0.2</v>
      </c>
      <c r="E20" s="25">
        <f>G12</f>
        <v>0.25</v>
      </c>
      <c r="F20" s="25">
        <f>E20+5%</f>
        <v>0.3</v>
      </c>
      <c r="G20" s="25">
        <f>E20+10%</f>
        <v>0.35</v>
      </c>
      <c r="H20" s="20"/>
      <c r="I20" s="20"/>
      <c r="J20" s="20"/>
      <c r="K20" s="20"/>
      <c r="L20" s="21"/>
    </row>
    <row r="21" spans="1:12" ht="12">
      <c r="A21" s="26" t="s">
        <v>42</v>
      </c>
      <c r="B21" s="27">
        <f>B23-4%</f>
        <v>0.13</v>
      </c>
      <c r="C21" s="28">
        <f aca="true" t="shared" si="0" ref="C21:G25">($G$10*C$20*$G$16/12)*(1/(1-(($B21/12)*$G$16)))</f>
        <v>41.512428862000476</v>
      </c>
      <c r="D21" s="29">
        <f t="shared" si="0"/>
        <v>55.34990514933397</v>
      </c>
      <c r="E21" s="29">
        <f t="shared" si="0"/>
        <v>69.18738143666745</v>
      </c>
      <c r="F21" s="29">
        <f t="shared" si="0"/>
        <v>83.02485772400095</v>
      </c>
      <c r="G21" s="30">
        <f t="shared" si="0"/>
        <v>96.86233401133444</v>
      </c>
      <c r="H21" s="20"/>
      <c r="I21" s="23"/>
      <c r="J21" s="20"/>
      <c r="K21" s="20"/>
      <c r="L21" s="21"/>
    </row>
    <row r="22" spans="1:12" ht="12">
      <c r="A22" s="26" t="s">
        <v>43</v>
      </c>
      <c r="B22" s="27">
        <f>B23-2%</f>
        <v>0.15000000000000002</v>
      </c>
      <c r="C22" s="31">
        <f t="shared" si="0"/>
        <v>43.94476757932568</v>
      </c>
      <c r="D22" s="32">
        <f t="shared" si="0"/>
        <v>58.593023439100904</v>
      </c>
      <c r="E22" s="32">
        <f t="shared" si="0"/>
        <v>73.24127929887612</v>
      </c>
      <c r="F22" s="32">
        <f t="shared" si="0"/>
        <v>87.88953515865136</v>
      </c>
      <c r="G22" s="33">
        <f t="shared" si="0"/>
        <v>102.53779101842657</v>
      </c>
      <c r="H22" s="20"/>
      <c r="I22" s="20"/>
      <c r="J22" s="20"/>
      <c r="K22" s="20"/>
      <c r="L22" s="21"/>
    </row>
    <row r="23" spans="1:12" ht="12">
      <c r="A23" s="26" t="s">
        <v>44</v>
      </c>
      <c r="B23" s="27">
        <f>G11</f>
        <v>0.17</v>
      </c>
      <c r="C23" s="31">
        <f t="shared" si="0"/>
        <v>46.67988306169401</v>
      </c>
      <c r="D23" s="32">
        <f t="shared" si="0"/>
        <v>62.23984408225868</v>
      </c>
      <c r="E23" s="34">
        <f t="shared" si="0"/>
        <v>77.79980510282334</v>
      </c>
      <c r="F23" s="32">
        <f t="shared" si="0"/>
        <v>93.35976612338801</v>
      </c>
      <c r="G23" s="33">
        <f t="shared" si="0"/>
        <v>108.91972714395267</v>
      </c>
      <c r="H23" s="20"/>
      <c r="I23" s="20"/>
      <c r="J23" s="20"/>
      <c r="K23" s="20"/>
      <c r="L23" s="21"/>
    </row>
    <row r="24" spans="1:12" ht="12">
      <c r="A24" s="26" t="s">
        <v>45</v>
      </c>
      <c r="B24" s="27">
        <f>B23+2%</f>
        <v>0.19</v>
      </c>
      <c r="C24" s="31">
        <f t="shared" si="0"/>
        <v>49.77806187127946</v>
      </c>
      <c r="D24" s="32">
        <f t="shared" si="0"/>
        <v>66.37074916170594</v>
      </c>
      <c r="E24" s="32">
        <f t="shared" si="0"/>
        <v>82.96343645213244</v>
      </c>
      <c r="F24" s="32">
        <f t="shared" si="0"/>
        <v>99.55612374255892</v>
      </c>
      <c r="G24" s="33">
        <f t="shared" si="0"/>
        <v>116.1488110329854</v>
      </c>
      <c r="H24" s="20"/>
      <c r="I24" s="20"/>
      <c r="J24" s="20"/>
      <c r="K24" s="20"/>
      <c r="L24" s="21"/>
    </row>
    <row r="25" spans="1:12" ht="12">
      <c r="A25" s="26"/>
      <c r="B25" s="27">
        <f>B23+4%</f>
        <v>0.21000000000000002</v>
      </c>
      <c r="C25" s="35">
        <f t="shared" si="0"/>
        <v>53.31673341059565</v>
      </c>
      <c r="D25" s="36">
        <f t="shared" si="0"/>
        <v>71.08897788079422</v>
      </c>
      <c r="E25" s="36">
        <f t="shared" si="0"/>
        <v>88.86122235099276</v>
      </c>
      <c r="F25" s="36">
        <f t="shared" si="0"/>
        <v>106.6334668211913</v>
      </c>
      <c r="G25" s="37">
        <f t="shared" si="0"/>
        <v>124.40571129138986</v>
      </c>
      <c r="H25" s="20"/>
      <c r="I25" s="20"/>
      <c r="J25" s="20"/>
      <c r="K25" s="20"/>
      <c r="L25" s="21"/>
    </row>
    <row r="26" spans="1:12" ht="1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1"/>
    </row>
    <row r="27" spans="1:12" ht="1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</row>
    <row r="28" spans="1:12" ht="12">
      <c r="A28" s="19"/>
      <c r="B28" s="20"/>
      <c r="C28" s="1" t="s">
        <v>46</v>
      </c>
      <c r="D28" s="1"/>
      <c r="E28" s="1"/>
      <c r="F28" s="1"/>
      <c r="G28" s="1"/>
      <c r="H28" s="20"/>
      <c r="I28" s="20"/>
      <c r="J28" s="20"/>
      <c r="K28" s="20"/>
      <c r="L28" s="21"/>
    </row>
    <row r="29" spans="1:12" ht="12">
      <c r="A29" s="19"/>
      <c r="B29" s="20"/>
      <c r="C29" s="25">
        <f>E29-10%</f>
        <v>0.15</v>
      </c>
      <c r="D29" s="25">
        <f>E29-5%</f>
        <v>0.2</v>
      </c>
      <c r="E29" s="25">
        <f>G12</f>
        <v>0.25</v>
      </c>
      <c r="F29" s="25">
        <f>E29+5%</f>
        <v>0.3</v>
      </c>
      <c r="G29" s="25">
        <f>E29+10%</f>
        <v>0.35</v>
      </c>
      <c r="H29" s="20"/>
      <c r="I29" s="20"/>
      <c r="J29" s="20"/>
      <c r="K29" s="20"/>
      <c r="L29" s="21"/>
    </row>
    <row r="30" spans="1:12" ht="12">
      <c r="A30" s="26" t="s">
        <v>47</v>
      </c>
      <c r="B30" s="38">
        <f>B32-4</f>
        <v>20.423127463863338</v>
      </c>
      <c r="C30" s="28">
        <f aca="true" t="shared" si="1" ref="C30:G34">($G$10*C$29*$B30/12)*(1/(1-(($G$11/12)*$G$16)))</f>
        <v>39.03468968819801</v>
      </c>
      <c r="D30" s="29">
        <f t="shared" si="1"/>
        <v>52.04625291759734</v>
      </c>
      <c r="E30" s="29">
        <f t="shared" si="1"/>
        <v>65.05781614699669</v>
      </c>
      <c r="F30" s="29">
        <f t="shared" si="1"/>
        <v>78.06937937639601</v>
      </c>
      <c r="G30" s="30">
        <f t="shared" si="1"/>
        <v>91.08094260579536</v>
      </c>
      <c r="H30" s="20"/>
      <c r="I30" s="20"/>
      <c r="J30" s="20"/>
      <c r="K30" s="20"/>
      <c r="L30" s="21"/>
    </row>
    <row r="31" spans="1:12" ht="12">
      <c r="A31" s="26" t="s">
        <v>48</v>
      </c>
      <c r="B31" s="38">
        <f>B32-2</f>
        <v>22.423127463863338</v>
      </c>
      <c r="C31" s="31">
        <f t="shared" si="1"/>
        <v>42.85728637494601</v>
      </c>
      <c r="D31" s="32">
        <f t="shared" si="1"/>
        <v>57.14304849992801</v>
      </c>
      <c r="E31" s="32">
        <f t="shared" si="1"/>
        <v>71.42881062491001</v>
      </c>
      <c r="F31" s="32">
        <f t="shared" si="1"/>
        <v>85.71457274989201</v>
      </c>
      <c r="G31" s="33">
        <f t="shared" si="1"/>
        <v>100.00033487487403</v>
      </c>
      <c r="H31" s="20"/>
      <c r="I31" s="20"/>
      <c r="J31" s="20"/>
      <c r="K31" s="20"/>
      <c r="L31" s="21"/>
    </row>
    <row r="32" spans="1:12" ht="12">
      <c r="A32" s="26" t="s">
        <v>49</v>
      </c>
      <c r="B32" s="38">
        <f>G16</f>
        <v>24.423127463863338</v>
      </c>
      <c r="C32" s="31">
        <f t="shared" si="1"/>
        <v>46.67988306169401</v>
      </c>
      <c r="D32" s="32">
        <f t="shared" si="1"/>
        <v>62.23984408225868</v>
      </c>
      <c r="E32" s="34">
        <f t="shared" si="1"/>
        <v>77.79980510282334</v>
      </c>
      <c r="F32" s="32">
        <f t="shared" si="1"/>
        <v>93.35976612338801</v>
      </c>
      <c r="G32" s="33">
        <f t="shared" si="1"/>
        <v>108.91972714395267</v>
      </c>
      <c r="H32" s="20"/>
      <c r="I32" s="20"/>
      <c r="J32" s="20"/>
      <c r="K32" s="20"/>
      <c r="L32" s="21"/>
    </row>
    <row r="33" spans="1:12" ht="12">
      <c r="A33" s="26" t="s">
        <v>50</v>
      </c>
      <c r="B33" s="38">
        <f>B32+2</f>
        <v>26.423127463863338</v>
      </c>
      <c r="C33" s="31">
        <f t="shared" si="1"/>
        <v>50.502479748442</v>
      </c>
      <c r="D33" s="32">
        <f t="shared" si="1"/>
        <v>67.33663966458934</v>
      </c>
      <c r="E33" s="32">
        <f t="shared" si="1"/>
        <v>84.17079958073667</v>
      </c>
      <c r="F33" s="32">
        <f t="shared" si="1"/>
        <v>101.004959496884</v>
      </c>
      <c r="G33" s="33">
        <f t="shared" si="1"/>
        <v>117.83911941303136</v>
      </c>
      <c r="H33" s="20"/>
      <c r="I33" s="20"/>
      <c r="J33" s="20"/>
      <c r="K33" s="20"/>
      <c r="L33" s="21"/>
    </row>
    <row r="34" spans="1:12" ht="12">
      <c r="A34" s="26" t="s">
        <v>37</v>
      </c>
      <c r="B34" s="38">
        <f>B32+4</f>
        <v>28.423127463863338</v>
      </c>
      <c r="C34" s="35">
        <f t="shared" si="1"/>
        <v>54.32507643518999</v>
      </c>
      <c r="D34" s="36">
        <f t="shared" si="1"/>
        <v>72.43343524692001</v>
      </c>
      <c r="E34" s="36">
        <f t="shared" si="1"/>
        <v>90.54179405865</v>
      </c>
      <c r="F34" s="36">
        <f t="shared" si="1"/>
        <v>108.65015287037998</v>
      </c>
      <c r="G34" s="37">
        <f t="shared" si="1"/>
        <v>126.75851168211</v>
      </c>
      <c r="H34" s="20"/>
      <c r="I34" s="20"/>
      <c r="J34" s="20"/>
      <c r="K34" s="20"/>
      <c r="L34" s="21"/>
    </row>
    <row r="35" spans="1:12" ht="12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1"/>
    </row>
    <row r="36" spans="1:12" ht="12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1"/>
    </row>
    <row r="37" spans="1:12" ht="12">
      <c r="A37" s="19"/>
      <c r="B37" s="20"/>
      <c r="C37" s="1" t="s">
        <v>51</v>
      </c>
      <c r="D37" s="1"/>
      <c r="E37" s="1"/>
      <c r="F37" s="1"/>
      <c r="G37" s="1"/>
      <c r="H37" s="20"/>
      <c r="I37" s="20"/>
      <c r="J37" s="20"/>
      <c r="K37" s="20"/>
      <c r="L37" s="21"/>
    </row>
    <row r="38" spans="1:12" ht="12">
      <c r="A38" s="19"/>
      <c r="B38" s="20"/>
      <c r="C38" s="27">
        <f>E38-4%</f>
        <v>0.13</v>
      </c>
      <c r="D38" s="27">
        <f>E38-2%</f>
        <v>0.15000000000000002</v>
      </c>
      <c r="E38" s="27">
        <f>G11</f>
        <v>0.17</v>
      </c>
      <c r="F38" s="27">
        <f>E38+2%</f>
        <v>0.19</v>
      </c>
      <c r="G38" s="27">
        <f>E38+4%</f>
        <v>0.21000000000000002</v>
      </c>
      <c r="H38" s="20"/>
      <c r="I38" s="20"/>
      <c r="J38" s="20"/>
      <c r="K38" s="20"/>
      <c r="L38" s="21"/>
    </row>
    <row r="39" spans="1:12" ht="12">
      <c r="A39" s="26" t="s">
        <v>47</v>
      </c>
      <c r="B39" s="38">
        <f>+B40-2</f>
        <v>20.423127463863338</v>
      </c>
      <c r="C39" s="28">
        <f aca="true" t="shared" si="2" ref="C39:G43">($G$10*C$29*$B39/12)*(1/(1-((C$38/12)*$G$16)))</f>
        <v>34.71355694464712</v>
      </c>
      <c r="D39" s="29">
        <f t="shared" si="2"/>
        <v>48.99670560047919</v>
      </c>
      <c r="E39" s="29">
        <f t="shared" si="2"/>
        <v>65.05781614699669</v>
      </c>
      <c r="F39" s="29">
        <f t="shared" si="2"/>
        <v>83.25090257219685</v>
      </c>
      <c r="G39" s="30">
        <f t="shared" si="2"/>
        <v>104.03064483432591</v>
      </c>
      <c r="H39" s="20"/>
      <c r="I39" s="20"/>
      <c r="J39" s="20"/>
      <c r="K39" s="20"/>
      <c r="L39" s="21"/>
    </row>
    <row r="40" spans="1:12" ht="12">
      <c r="A40" s="26" t="s">
        <v>48</v>
      </c>
      <c r="B40" s="38">
        <f>+B41-2</f>
        <v>22.423127463863338</v>
      </c>
      <c r="C40" s="31">
        <f t="shared" si="2"/>
        <v>38.11299290332379</v>
      </c>
      <c r="D40" s="32">
        <f t="shared" si="2"/>
        <v>53.794864519790046</v>
      </c>
      <c r="E40" s="32">
        <f t="shared" si="2"/>
        <v>71.42881062491001</v>
      </c>
      <c r="F40" s="32">
        <f t="shared" si="2"/>
        <v>91.40351315737789</v>
      </c>
      <c r="G40" s="33">
        <f t="shared" si="2"/>
        <v>114.21817806285789</v>
      </c>
      <c r="H40" s="20"/>
      <c r="I40" s="20"/>
      <c r="J40" s="20"/>
      <c r="K40" s="20"/>
      <c r="L40" s="21"/>
    </row>
    <row r="41" spans="1:12" ht="12">
      <c r="A41" s="26" t="s">
        <v>49</v>
      </c>
      <c r="B41" s="38">
        <f>G16</f>
        <v>24.423127463863338</v>
      </c>
      <c r="C41" s="31">
        <f t="shared" si="2"/>
        <v>41.512428862000476</v>
      </c>
      <c r="D41" s="32">
        <f t="shared" si="2"/>
        <v>58.593023439100904</v>
      </c>
      <c r="E41" s="34">
        <f t="shared" si="2"/>
        <v>77.79980510282334</v>
      </c>
      <c r="F41" s="32">
        <f t="shared" si="2"/>
        <v>99.55612374255892</v>
      </c>
      <c r="G41" s="33">
        <f t="shared" si="2"/>
        <v>124.40571129138986</v>
      </c>
      <c r="H41" s="20"/>
      <c r="I41" s="20"/>
      <c r="J41" s="20"/>
      <c r="K41" s="20"/>
      <c r="L41" s="21"/>
    </row>
    <row r="42" spans="1:12" ht="12">
      <c r="A42" s="26" t="s">
        <v>50</v>
      </c>
      <c r="B42" s="38">
        <f>+B41+2</f>
        <v>26.423127463863338</v>
      </c>
      <c r="C42" s="31">
        <f t="shared" si="2"/>
        <v>44.911864820677145</v>
      </c>
      <c r="D42" s="32">
        <f t="shared" si="2"/>
        <v>63.39118235841176</v>
      </c>
      <c r="E42" s="32">
        <f t="shared" si="2"/>
        <v>84.17079958073667</v>
      </c>
      <c r="F42" s="32">
        <f t="shared" si="2"/>
        <v>107.70873432773995</v>
      </c>
      <c r="G42" s="33">
        <f t="shared" si="2"/>
        <v>134.59324451992185</v>
      </c>
      <c r="H42" s="20"/>
      <c r="I42" s="20"/>
      <c r="J42" s="20"/>
      <c r="K42" s="20"/>
      <c r="L42" s="21"/>
    </row>
    <row r="43" spans="1:12" ht="12">
      <c r="A43" s="26" t="s">
        <v>37</v>
      </c>
      <c r="B43" s="38">
        <f>+B42+2</f>
        <v>28.423127463863338</v>
      </c>
      <c r="C43" s="35">
        <f t="shared" si="2"/>
        <v>48.31130077935382</v>
      </c>
      <c r="D43" s="36">
        <f t="shared" si="2"/>
        <v>68.18934127772262</v>
      </c>
      <c r="E43" s="36">
        <f t="shared" si="2"/>
        <v>90.54179405865</v>
      </c>
      <c r="F43" s="36">
        <f t="shared" si="2"/>
        <v>115.86134491292097</v>
      </c>
      <c r="G43" s="37">
        <f t="shared" si="2"/>
        <v>144.78077774845383</v>
      </c>
      <c r="H43" s="20"/>
      <c r="I43" s="20"/>
      <c r="J43" s="20"/>
      <c r="K43" s="20"/>
      <c r="L43" s="21"/>
    </row>
    <row r="44" spans="1:12" ht="12">
      <c r="A44" s="19"/>
      <c r="B44" s="61"/>
      <c r="C44" s="20"/>
      <c r="D44" s="20"/>
      <c r="E44" s="20"/>
      <c r="F44" s="20"/>
      <c r="G44" s="20"/>
      <c r="H44" s="20"/>
      <c r="I44" s="20"/>
      <c r="J44" s="20"/>
      <c r="K44" s="20"/>
      <c r="L44" s="21"/>
    </row>
    <row r="45" spans="1:12" ht="12">
      <c r="A45" s="19"/>
      <c r="B45" s="61"/>
      <c r="C45" s="20"/>
      <c r="D45" s="20"/>
      <c r="E45" s="20"/>
      <c r="F45" s="20"/>
      <c r="G45" s="20"/>
      <c r="H45" s="20"/>
      <c r="I45" s="20"/>
      <c r="J45" s="20"/>
      <c r="K45" s="20"/>
      <c r="L45" s="21"/>
    </row>
    <row r="46" spans="1:12" ht="12">
      <c r="A46" s="19"/>
      <c r="B46" s="61"/>
      <c r="C46" s="20"/>
      <c r="D46" s="20"/>
      <c r="E46" s="20"/>
      <c r="F46" s="20"/>
      <c r="G46" s="20"/>
      <c r="H46" s="20"/>
      <c r="I46" s="20"/>
      <c r="J46" s="20"/>
      <c r="K46" s="20"/>
      <c r="L46" s="21"/>
    </row>
    <row r="47" spans="1:12" ht="12">
      <c r="A47" s="19"/>
      <c r="B47" s="61"/>
      <c r="C47" s="20"/>
      <c r="D47" s="20"/>
      <c r="E47" s="20"/>
      <c r="F47" s="20"/>
      <c r="G47" s="20"/>
      <c r="H47" s="20"/>
      <c r="I47" s="20"/>
      <c r="J47" s="20"/>
      <c r="K47" s="20"/>
      <c r="L47" s="21"/>
    </row>
    <row r="48" spans="1:12" ht="12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1"/>
    </row>
    <row r="49" spans="1:12" ht="12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1"/>
    </row>
    <row r="50" spans="1:12" ht="12.75" thickBo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39"/>
    </row>
  </sheetData>
  <sheetProtection selectLockedCells="1"/>
  <mergeCells count="3">
    <mergeCell ref="C19:G19"/>
    <mergeCell ref="C28:G28"/>
    <mergeCell ref="C37:G37"/>
  </mergeCells>
  <printOptions/>
  <pageMargins left="0.7" right="0.7" top="0.75" bottom="0.75" header="0.3" footer="0.3"/>
  <pageSetup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E2" sqref="E2"/>
    </sheetView>
  </sheetViews>
  <sheetFormatPr defaultColWidth="11.421875" defaultRowHeight="12.75"/>
  <cols>
    <col min="1" max="1" width="21.7109375" style="0" bestFit="1" customWidth="1"/>
    <col min="2" max="2" width="16.8515625" style="0" customWidth="1"/>
    <col min="5" max="5" width="7.28125" style="0" bestFit="1" customWidth="1"/>
    <col min="10" max="10" width="19.7109375" style="0" customWidth="1"/>
  </cols>
  <sheetData>
    <row r="1" spans="2:12" ht="12">
      <c r="B1" s="2"/>
      <c r="C1" s="2"/>
      <c r="D1" s="2" t="s">
        <v>4</v>
      </c>
      <c r="E1" t="s">
        <v>5</v>
      </c>
      <c r="F1" t="s">
        <v>6</v>
      </c>
      <c r="H1" s="2" t="s">
        <v>15</v>
      </c>
      <c r="I1" s="2" t="s">
        <v>1</v>
      </c>
      <c r="J1" s="2" t="s">
        <v>2</v>
      </c>
      <c r="K1" s="2"/>
      <c r="L1" s="2" t="s">
        <v>3</v>
      </c>
    </row>
    <row r="2" spans="2:12" ht="12">
      <c r="B2" s="2" t="s">
        <v>0</v>
      </c>
      <c r="C2" s="2" t="s">
        <v>9</v>
      </c>
      <c r="D2" s="55">
        <f>+'nº reemplazos'!G9</f>
        <v>0.6</v>
      </c>
      <c r="E2" s="47">
        <f>+'nº reemplazos'!G8</f>
        <v>0.7</v>
      </c>
      <c r="F2" s="2">
        <f>+E2*D2</f>
        <v>0.42</v>
      </c>
      <c r="G2" s="2">
        <f>+B9</f>
        <v>25</v>
      </c>
      <c r="H2" s="3">
        <f>(G2*$F$2)</f>
        <v>10.5</v>
      </c>
      <c r="I2" s="3">
        <f>+G2-H2</f>
        <v>14.5</v>
      </c>
      <c r="J2" s="3">
        <f>+ROUND(H2,0)</f>
        <v>11</v>
      </c>
      <c r="K2" s="2">
        <v>21</v>
      </c>
      <c r="L2" s="11">
        <f>+'nº reemplazos'!G7</f>
        <v>13.5</v>
      </c>
    </row>
    <row r="3" spans="1:11" ht="12">
      <c r="A3" s="5" t="s">
        <v>7</v>
      </c>
      <c r="B3" s="54">
        <f>+'nº reemplazos'!G10</f>
        <v>100</v>
      </c>
      <c r="C3" s="51">
        <f>+'nº reemplazos'!G12</f>
        <v>0.25</v>
      </c>
      <c r="D3" s="2"/>
      <c r="G3" s="2"/>
      <c r="H3" s="3">
        <f aca="true" t="shared" si="0" ref="H3:H19">I2*$F$2</f>
        <v>6.09</v>
      </c>
      <c r="I3" s="3">
        <f>+I2-H3</f>
        <v>8.41</v>
      </c>
      <c r="J3" s="3">
        <f>ROUND(J2+H3,0)</f>
        <v>17</v>
      </c>
      <c r="K3" s="2">
        <v>21</v>
      </c>
    </row>
    <row r="4" spans="1:11" ht="12">
      <c r="A4" s="5" t="s">
        <v>8</v>
      </c>
      <c r="B4" s="2">
        <f>+(B3*C3)*2</f>
        <v>50</v>
      </c>
      <c r="C4" s="2" t="s">
        <v>11</v>
      </c>
      <c r="D4" s="2">
        <v>55</v>
      </c>
      <c r="G4" s="2"/>
      <c r="H4" s="3">
        <f t="shared" si="0"/>
        <v>3.5322</v>
      </c>
      <c r="I4" s="3">
        <f>+I3-H4</f>
        <v>4.877800000000001</v>
      </c>
      <c r="J4" s="3">
        <f aca="true" t="shared" si="1" ref="J4:J19">ROUND(J3+H4,0)</f>
        <v>21</v>
      </c>
      <c r="K4" s="2">
        <v>21</v>
      </c>
    </row>
    <row r="5" spans="1:11" ht="12">
      <c r="A5" s="2" t="s">
        <v>10</v>
      </c>
      <c r="B5" s="2">
        <f>ROUND(B4*(1+C5),0)</f>
        <v>59</v>
      </c>
      <c r="C5" s="51">
        <f>+'nº reemplazos'!G11</f>
        <v>0.17</v>
      </c>
      <c r="D5" s="2"/>
      <c r="G5" s="2"/>
      <c r="H5" s="3">
        <f t="shared" si="0"/>
        <v>2.0486760000000004</v>
      </c>
      <c r="I5" s="3">
        <f aca="true" t="shared" si="2" ref="I5:I11">+I4-H5</f>
        <v>2.829124</v>
      </c>
      <c r="J5" s="3">
        <f t="shared" si="1"/>
        <v>23</v>
      </c>
      <c r="K5" s="2">
        <v>21</v>
      </c>
    </row>
    <row r="6" spans="1:11" ht="12">
      <c r="A6" s="2" t="s">
        <v>12</v>
      </c>
      <c r="B6" s="2">
        <f>ROUND(B5*((K22/24)),0)</f>
        <v>60</v>
      </c>
      <c r="C6" s="2"/>
      <c r="D6" s="2"/>
      <c r="G6" s="2"/>
      <c r="H6" s="3">
        <f t="shared" si="0"/>
        <v>1.1882320800000001</v>
      </c>
      <c r="I6" s="3">
        <f t="shared" si="2"/>
        <v>1.64089192</v>
      </c>
      <c r="J6" s="3">
        <f t="shared" si="1"/>
        <v>24</v>
      </c>
      <c r="K6" s="2">
        <v>21</v>
      </c>
    </row>
    <row r="7" spans="1:11" ht="12">
      <c r="A7" s="2"/>
      <c r="B7" s="2"/>
      <c r="C7" s="2" t="s">
        <v>14</v>
      </c>
      <c r="D7" s="2"/>
      <c r="E7" s="2"/>
      <c r="F7" s="2"/>
      <c r="G7" s="2"/>
      <c r="H7" s="3">
        <f t="shared" si="0"/>
        <v>0.6891746064</v>
      </c>
      <c r="I7" s="3">
        <f t="shared" si="2"/>
        <v>0.9517173136000001</v>
      </c>
      <c r="J7" s="3">
        <f t="shared" si="1"/>
        <v>25</v>
      </c>
      <c r="K7" s="2">
        <v>21</v>
      </c>
    </row>
    <row r="8" spans="1:11" ht="12">
      <c r="A8" s="2" t="s">
        <v>13</v>
      </c>
      <c r="B8" s="2">
        <f>ROUND(B3*C8,0)</f>
        <v>90</v>
      </c>
      <c r="C8" s="51">
        <f>+LIP!F19</f>
        <v>0.8989444878811572</v>
      </c>
      <c r="D8" s="2"/>
      <c r="E8" s="2"/>
      <c r="F8" s="2"/>
      <c r="G8" s="2"/>
      <c r="H8" s="3">
        <f t="shared" si="0"/>
        <v>0.39972127171200006</v>
      </c>
      <c r="I8" s="3">
        <f t="shared" si="2"/>
        <v>0.5519960418880001</v>
      </c>
      <c r="J8" s="3">
        <f t="shared" si="1"/>
        <v>25</v>
      </c>
      <c r="K8" s="2">
        <v>21</v>
      </c>
    </row>
    <row r="9" spans="1:11" ht="12">
      <c r="A9" s="2" t="s">
        <v>17</v>
      </c>
      <c r="B9" s="2">
        <f>ROUNDDOWN((B3-B8)*(1+C10),0)+((B3*C3)-(B3-B8))</f>
        <v>25</v>
      </c>
      <c r="C9" s="2" t="s">
        <v>16</v>
      </c>
      <c r="D9" s="2"/>
      <c r="E9" s="2"/>
      <c r="F9" s="2"/>
      <c r="G9" s="2"/>
      <c r="H9" s="3">
        <f t="shared" si="0"/>
        <v>0.23183833759296005</v>
      </c>
      <c r="I9" s="3">
        <f t="shared" si="2"/>
        <v>0.3201577042950401</v>
      </c>
      <c r="J9" s="3">
        <f t="shared" si="1"/>
        <v>25</v>
      </c>
      <c r="K9" s="2">
        <v>21</v>
      </c>
    </row>
    <row r="10" spans="1:11" ht="12">
      <c r="A10" s="2"/>
      <c r="B10" s="2"/>
      <c r="C10" s="62"/>
      <c r="D10" s="63"/>
      <c r="E10" s="2"/>
      <c r="F10" s="2"/>
      <c r="G10" s="2"/>
      <c r="H10" s="3">
        <f t="shared" si="0"/>
        <v>0.13446623580391684</v>
      </c>
      <c r="I10" s="3">
        <f t="shared" si="2"/>
        <v>0.18569146849112325</v>
      </c>
      <c r="J10" s="3">
        <f t="shared" si="1"/>
        <v>25</v>
      </c>
      <c r="K10" s="2">
        <v>21</v>
      </c>
    </row>
    <row r="11" spans="1:11" ht="12">
      <c r="A11" s="2"/>
      <c r="B11" s="2"/>
      <c r="C11" s="2"/>
      <c r="D11" s="2"/>
      <c r="E11" s="2"/>
      <c r="F11" s="2"/>
      <c r="G11" s="2"/>
      <c r="H11" s="3">
        <f t="shared" si="0"/>
        <v>0.07799041676627176</v>
      </c>
      <c r="I11" s="3">
        <f t="shared" si="2"/>
        <v>0.10770105172485149</v>
      </c>
      <c r="J11" s="3">
        <f t="shared" si="1"/>
        <v>25</v>
      </c>
      <c r="K11" s="2">
        <v>21</v>
      </c>
    </row>
    <row r="12" spans="1:11" ht="12">
      <c r="A12" s="2"/>
      <c r="B12" s="2"/>
      <c r="C12" s="2"/>
      <c r="D12" s="2"/>
      <c r="E12" s="2"/>
      <c r="F12" s="2"/>
      <c r="G12" s="2"/>
      <c r="H12" s="3">
        <f t="shared" si="0"/>
        <v>0.04523444172443762</v>
      </c>
      <c r="I12" s="3">
        <f aca="true" t="shared" si="3" ref="I12:I17">+I11-H12</f>
        <v>0.06246661000041387</v>
      </c>
      <c r="J12" s="3">
        <f t="shared" si="1"/>
        <v>25</v>
      </c>
      <c r="K12" s="2">
        <v>21</v>
      </c>
    </row>
    <row r="13" spans="1:11" ht="12">
      <c r="A13" s="2"/>
      <c r="B13" s="6"/>
      <c r="C13" s="2"/>
      <c r="D13" s="2"/>
      <c r="E13" s="2"/>
      <c r="F13" s="2"/>
      <c r="G13" s="2"/>
      <c r="H13" s="3">
        <f t="shared" si="0"/>
        <v>0.026235976200173823</v>
      </c>
      <c r="I13" s="3">
        <f t="shared" si="3"/>
        <v>0.036230633800240046</v>
      </c>
      <c r="J13" s="3">
        <f t="shared" si="1"/>
        <v>25</v>
      </c>
      <c r="K13" s="2">
        <v>21</v>
      </c>
    </row>
    <row r="14" spans="1:11" ht="12">
      <c r="A14" s="7"/>
      <c r="B14" s="6"/>
      <c r="C14" s="2"/>
      <c r="D14" s="2"/>
      <c r="E14" s="2"/>
      <c r="F14" s="2"/>
      <c r="G14" s="2"/>
      <c r="H14" s="3">
        <f t="shared" si="0"/>
        <v>0.015216866196100819</v>
      </c>
      <c r="I14" s="3">
        <f t="shared" si="3"/>
        <v>0.021013767604139227</v>
      </c>
      <c r="J14" s="3">
        <f t="shared" si="1"/>
        <v>25</v>
      </c>
      <c r="K14" s="2">
        <v>21</v>
      </c>
    </row>
    <row r="15" spans="1:11" ht="12">
      <c r="A15" s="7"/>
      <c r="B15" s="2"/>
      <c r="C15" s="2"/>
      <c r="D15" s="2"/>
      <c r="E15" s="2"/>
      <c r="F15" s="2"/>
      <c r="G15" s="2"/>
      <c r="H15" s="3">
        <f t="shared" si="0"/>
        <v>0.008825782393738475</v>
      </c>
      <c r="I15" s="3">
        <f t="shared" si="3"/>
        <v>0.012187985210400753</v>
      </c>
      <c r="J15" s="3">
        <f t="shared" si="1"/>
        <v>25</v>
      </c>
      <c r="K15" s="2">
        <v>21</v>
      </c>
    </row>
    <row r="16" spans="1:11" ht="12">
      <c r="A16" s="2"/>
      <c r="B16" s="6"/>
      <c r="C16" s="2"/>
      <c r="D16" s="2"/>
      <c r="E16" s="2"/>
      <c r="F16" s="2"/>
      <c r="G16" s="2"/>
      <c r="H16" s="3">
        <f t="shared" si="0"/>
        <v>0.005118953788368316</v>
      </c>
      <c r="I16" s="3">
        <f t="shared" si="3"/>
        <v>0.007069031422032437</v>
      </c>
      <c r="J16" s="3">
        <f t="shared" si="1"/>
        <v>25</v>
      </c>
      <c r="K16" s="2">
        <v>21</v>
      </c>
    </row>
    <row r="17" spans="2:11" ht="12">
      <c r="B17" s="2"/>
      <c r="C17" s="2"/>
      <c r="D17" s="2"/>
      <c r="E17" s="2"/>
      <c r="F17" s="2"/>
      <c r="G17" s="2"/>
      <c r="H17" s="3">
        <f t="shared" si="0"/>
        <v>0.0029689931972536232</v>
      </c>
      <c r="I17" s="3">
        <f t="shared" si="3"/>
        <v>0.004100038224778814</v>
      </c>
      <c r="J17" s="3">
        <f t="shared" si="1"/>
        <v>25</v>
      </c>
      <c r="K17" s="2">
        <v>21</v>
      </c>
    </row>
    <row r="18" spans="1:11" ht="12">
      <c r="A18" s="2"/>
      <c r="B18" s="2"/>
      <c r="C18" s="4"/>
      <c r="D18" s="2"/>
      <c r="H18" s="3">
        <f t="shared" si="0"/>
        <v>0.0017220160544071017</v>
      </c>
      <c r="I18" s="3">
        <f>+I17-H18</f>
        <v>0.002378022170371712</v>
      </c>
      <c r="J18" s="3">
        <f t="shared" si="1"/>
        <v>25</v>
      </c>
      <c r="K18" s="2">
        <v>21</v>
      </c>
    </row>
    <row r="19" spans="1:11" ht="12">
      <c r="A19" s="2"/>
      <c r="B19" s="2"/>
      <c r="C19" s="2"/>
      <c r="D19" s="2"/>
      <c r="H19" s="3">
        <f t="shared" si="0"/>
        <v>0.000998769311556119</v>
      </c>
      <c r="I19" s="3">
        <f>+I18-H19</f>
        <v>0.001379252858815593</v>
      </c>
      <c r="J19" s="3">
        <f t="shared" si="1"/>
        <v>25</v>
      </c>
      <c r="K19" s="2">
        <v>21</v>
      </c>
    </row>
    <row r="20" spans="1:11" ht="12">
      <c r="A20" s="2"/>
      <c r="B20" s="2"/>
      <c r="C20" s="4"/>
      <c r="D20" s="2"/>
      <c r="G20" s="2"/>
      <c r="H20" s="3"/>
      <c r="I20" s="3"/>
      <c r="J20" s="3"/>
      <c r="K20" s="2">
        <f>(SUMIF(H2:H19,"&gt;=1",K2:K19))/2</f>
        <v>52.5</v>
      </c>
    </row>
    <row r="21" spans="1:11" ht="12">
      <c r="A21" s="2"/>
      <c r="B21" s="2"/>
      <c r="C21" s="2"/>
      <c r="D21" s="2"/>
      <c r="G21" s="2"/>
      <c r="H21" s="3"/>
      <c r="I21" s="3"/>
      <c r="J21" s="3"/>
      <c r="K21" s="2">
        <f>(K20+280)/30.44</f>
        <v>10.923127463863338</v>
      </c>
    </row>
    <row r="22" spans="1:11" ht="12">
      <c r="A22" s="2"/>
      <c r="B22" s="2"/>
      <c r="C22" s="4"/>
      <c r="D22" s="2"/>
      <c r="G22" s="2"/>
      <c r="H22" s="3"/>
      <c r="I22" s="3"/>
      <c r="J22" s="3"/>
      <c r="K22" s="56">
        <f>+K21+$L$2</f>
        <v>24.423127463863338</v>
      </c>
    </row>
    <row r="23" spans="1:11" ht="12">
      <c r="A23" s="2"/>
      <c r="B23" s="2"/>
      <c r="C23" s="2"/>
      <c r="D23" s="2"/>
      <c r="G23" s="2"/>
      <c r="H23" s="3"/>
      <c r="I23" s="3"/>
      <c r="J23" s="3"/>
      <c r="K23" s="2">
        <f>+K22/24*55</f>
        <v>55.96966710468681</v>
      </c>
    </row>
    <row r="24" spans="1:11" ht="12">
      <c r="A24" s="2"/>
      <c r="B24" s="6"/>
      <c r="C24" s="6"/>
      <c r="D24" s="6"/>
      <c r="G24" s="2"/>
      <c r="H24" s="3"/>
      <c r="I24" s="3"/>
      <c r="J24" s="3"/>
      <c r="K24" s="2"/>
    </row>
    <row r="25" spans="1:4" ht="12">
      <c r="A25" s="7"/>
      <c r="B25" s="6"/>
      <c r="C25" s="6"/>
      <c r="D25" s="6"/>
    </row>
    <row r="26" spans="1:4" ht="12">
      <c r="A26" s="7"/>
      <c r="B26" s="6"/>
      <c r="C26" s="6"/>
      <c r="D26" s="6"/>
    </row>
    <row r="27" spans="1:4" ht="12">
      <c r="A27" s="2"/>
      <c r="B27" s="6"/>
      <c r="C27" s="6"/>
      <c r="D27" s="6"/>
    </row>
    <row r="28" spans="1:3" ht="12">
      <c r="A28" s="2"/>
      <c r="B28" s="2"/>
      <c r="C28" s="2"/>
    </row>
    <row r="30" ht="12">
      <c r="D30" s="8"/>
    </row>
    <row r="31" ht="12">
      <c r="D31" s="8"/>
    </row>
    <row r="32" ht="12">
      <c r="D32" s="8"/>
    </row>
    <row r="33" ht="12">
      <c r="D33" s="8"/>
    </row>
    <row r="34" ht="12">
      <c r="D34" s="8"/>
    </row>
    <row r="35" ht="12">
      <c r="D35" s="8"/>
    </row>
    <row r="36" ht="12">
      <c r="D36" s="8"/>
    </row>
    <row r="37" ht="12">
      <c r="D37" s="8"/>
    </row>
    <row r="38" ht="12">
      <c r="D38" s="8"/>
    </row>
    <row r="39" ht="12">
      <c r="D39" s="8"/>
    </row>
    <row r="40" ht="12">
      <c r="D40" s="8"/>
    </row>
    <row r="41" ht="12">
      <c r="D41" s="8"/>
    </row>
    <row r="42" ht="12">
      <c r="D42" s="8"/>
    </row>
    <row r="43" spans="4:5" ht="12">
      <c r="D43" s="8"/>
      <c r="E43" s="9"/>
    </row>
    <row r="44" ht="12">
      <c r="D44" s="8"/>
    </row>
    <row r="45" ht="12">
      <c r="D45" s="8"/>
    </row>
    <row r="46" ht="12">
      <c r="D46" s="8"/>
    </row>
    <row r="47" ht="12">
      <c r="D47" s="8"/>
    </row>
  </sheetData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L4" sqref="L4"/>
    </sheetView>
  </sheetViews>
  <sheetFormatPr defaultColWidth="11.421875" defaultRowHeight="12.75"/>
  <cols>
    <col min="1" max="1" width="3.00390625" style="0" bestFit="1" customWidth="1"/>
    <col min="3" max="3" width="4.140625" style="0" customWidth="1"/>
    <col min="4" max="4" width="8.421875" style="0" customWidth="1"/>
    <col min="5" max="5" width="10.7109375" style="0" customWidth="1"/>
    <col min="9" max="9" width="3.8515625" style="0" customWidth="1"/>
    <col min="10" max="10" width="2.421875" style="0" customWidth="1"/>
    <col min="11" max="11" width="5.421875" style="0" customWidth="1"/>
    <col min="12" max="12" width="5.00390625" style="0" customWidth="1"/>
    <col min="13" max="13" width="6.00390625" style="0" customWidth="1"/>
    <col min="14" max="14" width="7.140625" style="0" customWidth="1"/>
    <col min="15" max="15" width="8.421875" style="0" customWidth="1"/>
  </cols>
  <sheetData>
    <row r="1" spans="2:7" ht="12">
      <c r="B1" s="10" t="s">
        <v>18</v>
      </c>
      <c r="C1" s="11">
        <f>+'nº reemplazos'!G6</f>
        <v>45</v>
      </c>
      <c r="D1" s="10" t="s">
        <v>7</v>
      </c>
      <c r="E1" s="10" t="s">
        <v>6</v>
      </c>
      <c r="F1" s="10" t="s">
        <v>4</v>
      </c>
      <c r="G1" s="10" t="s">
        <v>5</v>
      </c>
    </row>
    <row r="2" spans="2:13" ht="12">
      <c r="B2" s="10" t="s">
        <v>19</v>
      </c>
      <c r="D2" s="11">
        <f>+'nº reemplazos'!G10</f>
        <v>100</v>
      </c>
      <c r="E2">
        <f>+F2*G2</f>
        <v>0.225</v>
      </c>
      <c r="F2" s="47">
        <f>'nº reemplazos'!B9</f>
        <v>0.5</v>
      </c>
      <c r="G2" s="47">
        <f>'nº reemplazos'!B8</f>
        <v>0.45</v>
      </c>
      <c r="K2" s="10" t="s">
        <v>19</v>
      </c>
      <c r="L2" s="10" t="s">
        <v>29</v>
      </c>
      <c r="M2" s="10" t="s">
        <v>30</v>
      </c>
    </row>
    <row r="3" spans="1:15" ht="12">
      <c r="A3" s="41"/>
      <c r="B3" s="42"/>
      <c r="C3" s="41"/>
      <c r="D3" s="42" t="s">
        <v>20</v>
      </c>
      <c r="E3" s="42" t="s">
        <v>21</v>
      </c>
      <c r="F3" s="42" t="s">
        <v>22</v>
      </c>
      <c r="G3" s="41"/>
      <c r="H3" s="42" t="s">
        <v>24</v>
      </c>
      <c r="I3" s="41"/>
      <c r="J3" s="41"/>
      <c r="K3" s="42"/>
      <c r="L3" s="41"/>
      <c r="M3" s="41"/>
      <c r="N3" s="42" t="s">
        <v>26</v>
      </c>
      <c r="O3" s="42" t="s">
        <v>27</v>
      </c>
    </row>
    <row r="4" spans="1:15" ht="12">
      <c r="A4" s="41">
        <v>1</v>
      </c>
      <c r="B4" s="41">
        <f>ROUND($C$1+21,0)</f>
        <v>66</v>
      </c>
      <c r="C4" s="41"/>
      <c r="D4" s="41">
        <f>+D2*E2</f>
        <v>22.5</v>
      </c>
      <c r="E4" s="41">
        <f>+$D$2-D4</f>
        <v>77.5</v>
      </c>
      <c r="F4" s="41">
        <f>+D4</f>
        <v>22.5</v>
      </c>
      <c r="G4" s="43">
        <f aca="true" t="shared" si="0" ref="G4:G15">+F4/$D$2</f>
        <v>0.225</v>
      </c>
      <c r="H4" s="41">
        <f aca="true" t="shared" si="1" ref="H4:H15">+D4*B4</f>
        <v>1485</v>
      </c>
      <c r="I4" s="41"/>
      <c r="J4" s="41"/>
      <c r="K4" s="41">
        <f>+B4</f>
        <v>66</v>
      </c>
      <c r="L4" s="41">
        <f>+D2*F2</f>
        <v>50</v>
      </c>
      <c r="M4" s="41">
        <f>+$D$2-L4</f>
        <v>50</v>
      </c>
      <c r="N4" s="41">
        <f>+L4</f>
        <v>50</v>
      </c>
      <c r="O4" s="41">
        <f>+L4*K4</f>
        <v>3300</v>
      </c>
    </row>
    <row r="5" spans="1:15" ht="12">
      <c r="A5" s="41">
        <v>2</v>
      </c>
      <c r="B5" s="41">
        <f>+B4+21</f>
        <v>87</v>
      </c>
      <c r="C5" s="41"/>
      <c r="D5" s="41">
        <f>ROUND(E4*$E$2,0)</f>
        <v>17</v>
      </c>
      <c r="E5" s="41">
        <f>+E4-D5</f>
        <v>60.5</v>
      </c>
      <c r="F5" s="41">
        <f>+F4+D5</f>
        <v>39.5</v>
      </c>
      <c r="G5" s="43">
        <f t="shared" si="0"/>
        <v>0.395</v>
      </c>
      <c r="H5" s="41">
        <f t="shared" si="1"/>
        <v>1479</v>
      </c>
      <c r="I5" s="41"/>
      <c r="J5" s="41"/>
      <c r="K5" s="41">
        <f>+K4+21</f>
        <v>87</v>
      </c>
      <c r="L5" s="41">
        <f>+M4*$F$2</f>
        <v>25</v>
      </c>
      <c r="M5" s="41">
        <f>+M4-L5</f>
        <v>25</v>
      </c>
      <c r="N5" s="41">
        <f>+N4+L5</f>
        <v>75</v>
      </c>
      <c r="O5" s="41">
        <f aca="true" t="shared" si="2" ref="O5:O15">+L5*K5</f>
        <v>2175</v>
      </c>
    </row>
    <row r="6" spans="1:15" ht="12">
      <c r="A6" s="41">
        <v>3</v>
      </c>
      <c r="B6" s="41">
        <f aca="true" t="shared" si="3" ref="B6:B15">+B5+21</f>
        <v>108</v>
      </c>
      <c r="C6" s="41"/>
      <c r="D6" s="41">
        <f aca="true" t="shared" si="4" ref="D6:D15">ROUND(E5*$E$2,0)</f>
        <v>14</v>
      </c>
      <c r="E6" s="41">
        <f aca="true" t="shared" si="5" ref="E6:E15">+E5-D6</f>
        <v>46.5</v>
      </c>
      <c r="F6" s="41">
        <f aca="true" t="shared" si="6" ref="F6:F15">+F5+D6</f>
        <v>53.5</v>
      </c>
      <c r="G6" s="43">
        <f t="shared" si="0"/>
        <v>0.535</v>
      </c>
      <c r="H6" s="41">
        <f t="shared" si="1"/>
        <v>1512</v>
      </c>
      <c r="I6" s="41"/>
      <c r="J6" s="41"/>
      <c r="K6" s="41">
        <f aca="true" t="shared" si="7" ref="K6:K15">+K5+21</f>
        <v>108</v>
      </c>
      <c r="L6" s="44">
        <f aca="true" t="shared" si="8" ref="L6:L15">+M5*$F$2</f>
        <v>12.5</v>
      </c>
      <c r="M6" s="44">
        <f aca="true" t="shared" si="9" ref="M6:M15">+M5-L6</f>
        <v>12.5</v>
      </c>
      <c r="N6" s="44">
        <f aca="true" t="shared" si="10" ref="N6:N15">+N5+L6</f>
        <v>87.5</v>
      </c>
      <c r="O6" s="41">
        <f t="shared" si="2"/>
        <v>1350</v>
      </c>
    </row>
    <row r="7" spans="1:15" ht="12">
      <c r="A7" s="41">
        <v>4</v>
      </c>
      <c r="B7" s="41">
        <f t="shared" si="3"/>
        <v>129</v>
      </c>
      <c r="C7" s="41"/>
      <c r="D7" s="41">
        <f t="shared" si="4"/>
        <v>10</v>
      </c>
      <c r="E7" s="41">
        <f t="shared" si="5"/>
        <v>36.5</v>
      </c>
      <c r="F7" s="41">
        <f t="shared" si="6"/>
        <v>63.5</v>
      </c>
      <c r="G7" s="43">
        <f t="shared" si="0"/>
        <v>0.635</v>
      </c>
      <c r="H7" s="41">
        <f t="shared" si="1"/>
        <v>1290</v>
      </c>
      <c r="I7" s="41"/>
      <c r="J7" s="41"/>
      <c r="K7" s="41">
        <f t="shared" si="7"/>
        <v>129</v>
      </c>
      <c r="L7" s="44">
        <f t="shared" si="8"/>
        <v>6.25</v>
      </c>
      <c r="M7" s="44">
        <f t="shared" si="9"/>
        <v>6.25</v>
      </c>
      <c r="N7" s="44">
        <f t="shared" si="10"/>
        <v>93.75</v>
      </c>
      <c r="O7" s="44">
        <f t="shared" si="2"/>
        <v>806.25</v>
      </c>
    </row>
    <row r="8" spans="1:15" ht="12">
      <c r="A8" s="41">
        <v>5</v>
      </c>
      <c r="B8" s="41">
        <f t="shared" si="3"/>
        <v>150</v>
      </c>
      <c r="C8" s="41"/>
      <c r="D8" s="41">
        <f t="shared" si="4"/>
        <v>8</v>
      </c>
      <c r="E8" s="41">
        <f t="shared" si="5"/>
        <v>28.5</v>
      </c>
      <c r="F8" s="41">
        <f t="shared" si="6"/>
        <v>71.5</v>
      </c>
      <c r="G8" s="43">
        <f t="shared" si="0"/>
        <v>0.715</v>
      </c>
      <c r="H8" s="41">
        <f t="shared" si="1"/>
        <v>1200</v>
      </c>
      <c r="I8" s="41"/>
      <c r="J8" s="41"/>
      <c r="K8" s="41">
        <f t="shared" si="7"/>
        <v>150</v>
      </c>
      <c r="L8" s="44">
        <f t="shared" si="8"/>
        <v>3.125</v>
      </c>
      <c r="M8" s="44">
        <f t="shared" si="9"/>
        <v>3.125</v>
      </c>
      <c r="N8" s="44">
        <f t="shared" si="10"/>
        <v>96.875</v>
      </c>
      <c r="O8" s="44">
        <f t="shared" si="2"/>
        <v>468.75</v>
      </c>
    </row>
    <row r="9" spans="1:15" ht="12">
      <c r="A9" s="41">
        <v>6</v>
      </c>
      <c r="B9" s="41">
        <f t="shared" si="3"/>
        <v>171</v>
      </c>
      <c r="C9" s="41"/>
      <c r="D9" s="41">
        <f t="shared" si="4"/>
        <v>6</v>
      </c>
      <c r="E9" s="41">
        <f t="shared" si="5"/>
        <v>22.5</v>
      </c>
      <c r="F9" s="41">
        <f t="shared" si="6"/>
        <v>77.5</v>
      </c>
      <c r="G9" s="43">
        <f t="shared" si="0"/>
        <v>0.775</v>
      </c>
      <c r="H9" s="41">
        <f t="shared" si="1"/>
        <v>1026</v>
      </c>
      <c r="I9" s="41"/>
      <c r="J9" s="41"/>
      <c r="K9" s="41">
        <f t="shared" si="7"/>
        <v>171</v>
      </c>
      <c r="L9" s="44">
        <f t="shared" si="8"/>
        <v>1.5625</v>
      </c>
      <c r="M9" s="44">
        <f t="shared" si="9"/>
        <v>1.5625</v>
      </c>
      <c r="N9" s="44">
        <f t="shared" si="10"/>
        <v>98.4375</v>
      </c>
      <c r="O9" s="44">
        <f t="shared" si="2"/>
        <v>267.1875</v>
      </c>
    </row>
    <row r="10" spans="1:15" ht="12">
      <c r="A10" s="41">
        <v>7</v>
      </c>
      <c r="B10" s="41">
        <f t="shared" si="3"/>
        <v>192</v>
      </c>
      <c r="C10" s="41"/>
      <c r="D10" s="41">
        <f t="shared" si="4"/>
        <v>5</v>
      </c>
      <c r="E10" s="41">
        <f t="shared" si="5"/>
        <v>17.5</v>
      </c>
      <c r="F10" s="41">
        <f t="shared" si="6"/>
        <v>82.5</v>
      </c>
      <c r="G10" s="43">
        <f t="shared" si="0"/>
        <v>0.825</v>
      </c>
      <c r="H10" s="41">
        <f t="shared" si="1"/>
        <v>960</v>
      </c>
      <c r="I10" s="41"/>
      <c r="J10" s="41"/>
      <c r="K10" s="41">
        <f t="shared" si="7"/>
        <v>192</v>
      </c>
      <c r="L10" s="44">
        <f t="shared" si="8"/>
        <v>0.78125</v>
      </c>
      <c r="M10" s="44">
        <f t="shared" si="9"/>
        <v>0.78125</v>
      </c>
      <c r="N10" s="44">
        <f t="shared" si="10"/>
        <v>99.21875</v>
      </c>
      <c r="O10" s="44">
        <f t="shared" si="2"/>
        <v>150</v>
      </c>
    </row>
    <row r="11" spans="1:15" ht="12">
      <c r="A11" s="41">
        <v>8</v>
      </c>
      <c r="B11" s="41">
        <f t="shared" si="3"/>
        <v>213</v>
      </c>
      <c r="C11" s="41"/>
      <c r="D11" s="41">
        <f t="shared" si="4"/>
        <v>4</v>
      </c>
      <c r="E11" s="41">
        <f t="shared" si="5"/>
        <v>13.5</v>
      </c>
      <c r="F11" s="41">
        <f t="shared" si="6"/>
        <v>86.5</v>
      </c>
      <c r="G11" s="43">
        <f t="shared" si="0"/>
        <v>0.865</v>
      </c>
      <c r="H11" s="41">
        <f t="shared" si="1"/>
        <v>852</v>
      </c>
      <c r="I11" s="41"/>
      <c r="J11" s="41"/>
      <c r="K11" s="41">
        <f t="shared" si="7"/>
        <v>213</v>
      </c>
      <c r="L11" s="44">
        <f t="shared" si="8"/>
        <v>0.390625</v>
      </c>
      <c r="M11" s="44">
        <f t="shared" si="9"/>
        <v>0.390625</v>
      </c>
      <c r="N11" s="44">
        <f t="shared" si="10"/>
        <v>99.609375</v>
      </c>
      <c r="O11" s="44">
        <f t="shared" si="2"/>
        <v>83.203125</v>
      </c>
    </row>
    <row r="12" spans="1:15" ht="12">
      <c r="A12" s="41">
        <v>9</v>
      </c>
      <c r="B12" s="41">
        <f t="shared" si="3"/>
        <v>234</v>
      </c>
      <c r="C12" s="41"/>
      <c r="D12" s="41">
        <f t="shared" si="4"/>
        <v>3</v>
      </c>
      <c r="E12" s="41">
        <f t="shared" si="5"/>
        <v>10.5</v>
      </c>
      <c r="F12" s="41">
        <f t="shared" si="6"/>
        <v>89.5</v>
      </c>
      <c r="G12" s="43">
        <f t="shared" si="0"/>
        <v>0.895</v>
      </c>
      <c r="H12" s="41">
        <f t="shared" si="1"/>
        <v>702</v>
      </c>
      <c r="I12" s="41"/>
      <c r="J12" s="41"/>
      <c r="K12" s="41">
        <f t="shared" si="7"/>
        <v>234</v>
      </c>
      <c r="L12" s="44">
        <f t="shared" si="8"/>
        <v>0.1953125</v>
      </c>
      <c r="M12" s="44">
        <f t="shared" si="9"/>
        <v>0.1953125</v>
      </c>
      <c r="N12" s="44">
        <f t="shared" si="10"/>
        <v>99.8046875</v>
      </c>
      <c r="O12" s="44">
        <f t="shared" si="2"/>
        <v>45.703125</v>
      </c>
    </row>
    <row r="13" spans="1:15" ht="12">
      <c r="A13" s="41">
        <v>10</v>
      </c>
      <c r="B13" s="41">
        <f t="shared" si="3"/>
        <v>255</v>
      </c>
      <c r="C13" s="41"/>
      <c r="D13" s="41">
        <f t="shared" si="4"/>
        <v>2</v>
      </c>
      <c r="E13" s="41">
        <f t="shared" si="5"/>
        <v>8.5</v>
      </c>
      <c r="F13" s="41">
        <f t="shared" si="6"/>
        <v>91.5</v>
      </c>
      <c r="G13" s="43">
        <f t="shared" si="0"/>
        <v>0.915</v>
      </c>
      <c r="H13" s="41">
        <f t="shared" si="1"/>
        <v>510</v>
      </c>
      <c r="I13" s="41"/>
      <c r="J13" s="41"/>
      <c r="K13" s="41">
        <f t="shared" si="7"/>
        <v>255</v>
      </c>
      <c r="L13" s="44">
        <f t="shared" si="8"/>
        <v>0.09765625</v>
      </c>
      <c r="M13" s="44">
        <f t="shared" si="9"/>
        <v>0.09765625</v>
      </c>
      <c r="N13" s="44">
        <f t="shared" si="10"/>
        <v>99.90234375</v>
      </c>
      <c r="O13" s="44">
        <f t="shared" si="2"/>
        <v>24.90234375</v>
      </c>
    </row>
    <row r="14" spans="1:15" ht="12">
      <c r="A14" s="41">
        <v>11</v>
      </c>
      <c r="B14" s="41">
        <f t="shared" si="3"/>
        <v>276</v>
      </c>
      <c r="C14" s="41"/>
      <c r="D14" s="41">
        <f t="shared" si="4"/>
        <v>2</v>
      </c>
      <c r="E14" s="41">
        <f t="shared" si="5"/>
        <v>6.5</v>
      </c>
      <c r="F14" s="41">
        <f t="shared" si="6"/>
        <v>93.5</v>
      </c>
      <c r="G14" s="43">
        <f t="shared" si="0"/>
        <v>0.935</v>
      </c>
      <c r="H14" s="41">
        <f t="shared" si="1"/>
        <v>552</v>
      </c>
      <c r="I14" s="41"/>
      <c r="J14" s="41"/>
      <c r="K14" s="41">
        <f t="shared" si="7"/>
        <v>276</v>
      </c>
      <c r="L14" s="44">
        <f t="shared" si="8"/>
        <v>0.048828125</v>
      </c>
      <c r="M14" s="44">
        <f t="shared" si="9"/>
        <v>0.048828125</v>
      </c>
      <c r="N14" s="44">
        <f t="shared" si="10"/>
        <v>99.951171875</v>
      </c>
      <c r="O14" s="44">
        <f t="shared" si="2"/>
        <v>13.4765625</v>
      </c>
    </row>
    <row r="15" spans="1:15" ht="12">
      <c r="A15" s="41">
        <v>12</v>
      </c>
      <c r="B15" s="41">
        <f t="shared" si="3"/>
        <v>297</v>
      </c>
      <c r="C15" s="41"/>
      <c r="D15" s="41">
        <f t="shared" si="4"/>
        <v>1</v>
      </c>
      <c r="E15" s="48">
        <f t="shared" si="5"/>
        <v>5.5</v>
      </c>
      <c r="F15" s="41">
        <f t="shared" si="6"/>
        <v>94.5</v>
      </c>
      <c r="G15" s="43">
        <f t="shared" si="0"/>
        <v>0.945</v>
      </c>
      <c r="H15" s="41">
        <f t="shared" si="1"/>
        <v>297</v>
      </c>
      <c r="I15" s="41"/>
      <c r="J15" s="41"/>
      <c r="K15" s="41">
        <f t="shared" si="7"/>
        <v>297</v>
      </c>
      <c r="L15" s="44">
        <f t="shared" si="8"/>
        <v>0.0244140625</v>
      </c>
      <c r="M15" s="44">
        <f t="shared" si="9"/>
        <v>0.0244140625</v>
      </c>
      <c r="N15" s="44">
        <f t="shared" si="10"/>
        <v>99.9755859375</v>
      </c>
      <c r="O15" s="44">
        <f t="shared" si="2"/>
        <v>7.2509765625</v>
      </c>
    </row>
    <row r="16" spans="1:15" ht="12">
      <c r="A16" s="20"/>
      <c r="B16" s="20"/>
      <c r="C16" s="20"/>
      <c r="D16" s="20"/>
      <c r="E16" s="20"/>
      <c r="F16" s="20"/>
      <c r="G16" s="46"/>
      <c r="H16" s="20"/>
      <c r="I16" s="20"/>
      <c r="J16" s="20"/>
      <c r="K16" s="20"/>
      <c r="L16" s="32"/>
      <c r="M16" s="32"/>
      <c r="N16" s="32"/>
      <c r="O16" s="32"/>
    </row>
    <row r="17" spans="5:6" ht="12">
      <c r="E17" s="10" t="s">
        <v>31</v>
      </c>
      <c r="F17" s="10" t="s">
        <v>32</v>
      </c>
    </row>
    <row r="18" spans="2:4" ht="12">
      <c r="B18" s="42" t="s">
        <v>23</v>
      </c>
      <c r="C18" s="41"/>
      <c r="D18" s="45">
        <f>(SUM(H4:H15)+C1)/F15</f>
        <v>126.03174603174604</v>
      </c>
    </row>
    <row r="19" spans="2:6" ht="12">
      <c r="B19" s="42" t="s">
        <v>25</v>
      </c>
      <c r="C19" s="41"/>
      <c r="D19" s="45">
        <f>+D18+280</f>
        <v>406.031746031746</v>
      </c>
      <c r="E19" s="45">
        <f>D19/30.44</f>
        <v>13.338756439939093</v>
      </c>
      <c r="F19" s="50">
        <f>365/D19</f>
        <v>0.8989444878811572</v>
      </c>
    </row>
    <row r="20" spans="2:4" ht="12">
      <c r="B20" s="42" t="s">
        <v>28</v>
      </c>
      <c r="C20" s="41"/>
      <c r="D20" s="45">
        <f>(SUM(O4:O15)+$C$1)/N15</f>
        <v>87.38857142857142</v>
      </c>
    </row>
    <row r="21" spans="2:4" ht="12">
      <c r="B21" s="49" t="s">
        <v>52</v>
      </c>
      <c r="C21" s="41"/>
      <c r="D21" s="41">
        <f>+E15</f>
        <v>5.5</v>
      </c>
    </row>
    <row r="22" ht="12">
      <c r="B22" s="10"/>
    </row>
  </sheetData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Cooprinsem</dc:creator>
  <cp:keywords/>
  <dc:description/>
  <cp:lastModifiedBy>victor cabrera</cp:lastModifiedBy>
  <dcterms:created xsi:type="dcterms:W3CDTF">2009-07-20T20:28:59Z</dcterms:created>
  <dcterms:modified xsi:type="dcterms:W3CDTF">2012-09-05T17:37:02Z</dcterms:modified>
  <cp:category/>
  <cp:version/>
  <cp:contentType/>
  <cp:contentStatus/>
</cp:coreProperties>
</file>