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Minimum Class III Milk Value" sheetId="1" r:id="rId1"/>
  </sheets>
  <definedNames/>
  <calcPr fullCalcOnLoad="1"/>
</workbook>
</file>

<file path=xl/sharedStrings.xml><?xml version="1.0" encoding="utf-8"?>
<sst xmlns="http://schemas.openxmlformats.org/spreadsheetml/2006/main" count="96" uniqueCount="50">
  <si>
    <t>Butterfat</t>
  </si>
  <si>
    <t>Butter</t>
  </si>
  <si>
    <t>NFDM</t>
  </si>
  <si>
    <t>Cheese</t>
  </si>
  <si>
    <t>Dry Whey</t>
  </si>
  <si>
    <t>Protein</t>
  </si>
  <si>
    <t>Other Solids</t>
  </si>
  <si>
    <t>Class III Price</t>
  </si>
  <si>
    <t>Class II Butterfat</t>
  </si>
  <si>
    <t>Class II Price</t>
  </si>
  <si>
    <t>Class IV Price</t>
  </si>
  <si>
    <t>Class Prices</t>
  </si>
  <si>
    <t>Class III Butterfat</t>
  </si>
  <si>
    <t>Class III Protein</t>
  </si>
  <si>
    <t>Class III Skim Milk Price</t>
  </si>
  <si>
    <t>Class III Other Solids</t>
  </si>
  <si>
    <t>Class IV Skim Milk Price</t>
  </si>
  <si>
    <t>Class IV Nonfat Solids Price</t>
  </si>
  <si>
    <t>Component Prices by Class</t>
  </si>
  <si>
    <t>Monthly  Average Prices</t>
  </si>
  <si>
    <t>Month</t>
  </si>
  <si>
    <t>Class IV Butterfat</t>
  </si>
  <si>
    <t>Tentative Final Decision Calculation of Class II, Class III and Class IV Prices</t>
  </si>
  <si>
    <t>The Following Incorporates The Rules of the 11/07/02 Final Decision</t>
  </si>
  <si>
    <t>Note:  The above reflects the pricing system subject to the 1/31/01 Federal Court Injunction</t>
  </si>
  <si>
    <t>Final Decision Calculation of Class II, Class III and Class IV Prices</t>
  </si>
  <si>
    <t>Interim Final Rule Class III and IV Make Allowance Changes as of Dec. 29, 2006 Incorporated</t>
  </si>
  <si>
    <t>July 1, 2008 Changes in Make Allowances Incorporated as of Oct. Advanced Prices</t>
  </si>
  <si>
    <t>Protein (%)</t>
  </si>
  <si>
    <t>Solids (%)</t>
  </si>
  <si>
    <t>SCC</t>
  </si>
  <si>
    <t>Class III</t>
  </si>
  <si>
    <t>Butterfat (%)</t>
  </si>
  <si>
    <t>SCC (x1,000)</t>
  </si>
  <si>
    <t xml:space="preserve"> NASS Monthly Average Price</t>
  </si>
  <si>
    <t>Milk Components and SCC</t>
  </si>
  <si>
    <r>
      <t xml:space="preserve">Use your own   </t>
    </r>
    <r>
      <rPr>
        <sz val="10"/>
        <rFont val="Calibri"/>
        <family val="2"/>
      </rPr>
      <t>→</t>
    </r>
  </si>
  <si>
    <r>
      <t xml:space="preserve">Edit Values   </t>
    </r>
    <r>
      <rPr>
        <sz val="10"/>
        <rFont val="Calibri"/>
        <family val="2"/>
      </rPr>
      <t>→</t>
    </r>
  </si>
  <si>
    <r>
      <t xml:space="preserve">Edit Value   </t>
    </r>
    <r>
      <rPr>
        <sz val="10"/>
        <rFont val="Calibri"/>
        <family val="2"/>
      </rPr>
      <t>→</t>
    </r>
  </si>
  <si>
    <t>(cwt)</t>
  </si>
  <si>
    <t>Calculated Milk Price Structure</t>
  </si>
  <si>
    <t>Milk Quantity</t>
  </si>
  <si>
    <r>
      <t xml:space="preserve">Sensitivity of </t>
    </r>
    <r>
      <rPr>
        <b/>
        <u val="single"/>
        <sz val="10"/>
        <rFont val="Arial"/>
        <family val="2"/>
      </rPr>
      <t>Milk Value</t>
    </r>
    <r>
      <rPr>
        <b/>
        <sz val="10"/>
        <rFont val="Arial"/>
        <family val="2"/>
      </rPr>
      <t xml:space="preserve"> to Component Content and SCC According to Defined Inputs</t>
    </r>
  </si>
  <si>
    <t>Questions/Comments: Victor E. Cabrera, vcabrera@wisc.edu, 608-265-8506</t>
  </si>
  <si>
    <t>Milk Price Component Calculator and Sensitivity Analysis</t>
  </si>
  <si>
    <t>($/cwt milk)</t>
  </si>
  <si>
    <t>($/lb component)</t>
  </si>
  <si>
    <t>1. Use drop box menu to find hitorical USDA-NASS monthly prices or enter your own prices on yellow cells in row 144</t>
  </si>
  <si>
    <t>2. Overwrite milk components and SCC values shown in the yellow cells in row 148</t>
  </si>
  <si>
    <t>3. Enter estimated amount of milk quantity to be sold on yellow cell in row 152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</si>
</sst>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  <numFmt numFmtId="167" formatCode="#,##0.0000"/>
    <numFmt numFmtId="168" formatCode="mmmm\-yy"/>
    <numFmt numFmtId="169" formatCode="0.0"/>
    <numFmt numFmtId="170" formatCode="&quot;$&quot;#,##0.0"/>
    <numFmt numFmtId="171" formatCode="&quot;$&quot;#,##0"/>
    <numFmt numFmtId="172" formatCode="&quot;$&quot;#,##0.000"/>
    <numFmt numFmtId="173" formatCode="#,##0.000"/>
    <numFmt numFmtId="174" formatCode="[$-409]dddd\,\ mmmm\ dd\,\ yyyy"/>
    <numFmt numFmtId="175" formatCode="[$-409]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000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&quot;$&quot;#,##0.000000"/>
    <numFmt numFmtId="184" formatCode="&quot;$&quot;#,##0.0000000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#,##0.00000"/>
    <numFmt numFmtId="191" formatCode="#,##0.000000"/>
    <numFmt numFmtId="192" formatCode="#,##0.0000000"/>
    <numFmt numFmtId="193" formatCode="#,##0.00000000"/>
    <numFmt numFmtId="194" formatCode="_(* #,##0.0_);_(* \(#,##0.0\);_(* &quot;-&quot;??_);_(@_)"/>
    <numFmt numFmtId="195" formatCode="_(* #,##0_);_(* \(#,##0\);_(* &quot;-&quot;??_);_(@_)"/>
    <numFmt numFmtId="196" formatCode="0.0%"/>
    <numFmt numFmtId="197" formatCode="0.000"/>
    <numFmt numFmtId="198" formatCode="0.00000"/>
    <numFmt numFmtId="199" formatCode="&quot;$&quot;#,##0.00000000"/>
    <numFmt numFmtId="200" formatCode="&quot;$&quot;#,##0.000000000"/>
    <numFmt numFmtId="201" formatCode="_(* #,##0.0000000_);_(* \(#,##0.0000000\);_(* &quot;-&quot;?????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8.5"/>
      <color indexed="36"/>
      <name val="Arial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Calibri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0" fillId="0" borderId="0" xfId="0" applyFill="1" applyAlignment="1">
      <alignment/>
    </xf>
    <xf numFmtId="4" fontId="0" fillId="0" borderId="29" xfId="0" applyNumberFormat="1" applyBorder="1" applyAlignment="1">
      <alignment horizontal="center"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 vertical="center" wrapText="1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165" fontId="5" fillId="0" borderId="32" xfId="0" applyNumberFormat="1" applyFont="1" applyFill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175" fontId="0" fillId="0" borderId="34" xfId="0" applyNumberFormat="1" applyBorder="1" applyAlignment="1">
      <alignment horizontal="center"/>
    </xf>
    <xf numFmtId="165" fontId="5" fillId="0" borderId="35" xfId="0" applyNumberFormat="1" applyFont="1" applyFill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165" fontId="5" fillId="0" borderId="11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192" fontId="0" fillId="33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0" fontId="0" fillId="0" borderId="10" xfId="0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0" fontId="1" fillId="0" borderId="41" xfId="0" applyNumberFormat="1" applyFont="1" applyBorder="1" applyAlignment="1">
      <alignment/>
    </xf>
    <xf numFmtId="10" fontId="1" fillId="0" borderId="42" xfId="0" applyNumberFormat="1" applyFont="1" applyBorder="1" applyAlignment="1">
      <alignment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10" fontId="1" fillId="0" borderId="40" xfId="0" applyNumberFormat="1" applyFont="1" applyBorder="1" applyAlignment="1">
      <alignment/>
    </xf>
    <xf numFmtId="10" fontId="1" fillId="0" borderId="44" xfId="0" applyNumberFormat="1" applyFont="1" applyBorder="1" applyAlignment="1">
      <alignment/>
    </xf>
    <xf numFmtId="0" fontId="1" fillId="0" borderId="44" xfId="0" applyFont="1" applyBorder="1" applyAlignment="1">
      <alignment/>
    </xf>
    <xf numFmtId="10" fontId="1" fillId="0" borderId="45" xfId="0" applyNumberFormat="1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195" fontId="1" fillId="0" borderId="46" xfId="0" applyNumberFormat="1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0" fillId="0" borderId="39" xfId="0" applyBorder="1" applyAlignment="1">
      <alignment horizontal="center"/>
    </xf>
    <xf numFmtId="165" fontId="0" fillId="0" borderId="44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165" fontId="0" fillId="0" borderId="42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33" borderId="11" xfId="0" applyNumberFormat="1" applyFill="1" applyBorder="1" applyAlignment="1" applyProtection="1">
      <alignment/>
      <protection locked="0"/>
    </xf>
    <xf numFmtId="10" fontId="0" fillId="33" borderId="11" xfId="59" applyNumberFormat="1" applyFont="1" applyFill="1" applyBorder="1" applyAlignment="1" applyProtection="1">
      <alignment/>
      <protection locked="0"/>
    </xf>
    <xf numFmtId="195" fontId="0" fillId="33" borderId="11" xfId="42" applyNumberFormat="1" applyFont="1" applyFill="1" applyBorder="1" applyAlignment="1" applyProtection="1">
      <alignment/>
      <protection locked="0"/>
    </xf>
    <xf numFmtId="195" fontId="0" fillId="33" borderId="11" xfId="42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5" fontId="1" fillId="34" borderId="11" xfId="0" applyNumberFormat="1" applyFont="1" applyFill="1" applyBorder="1" applyAlignment="1" applyProtection="1">
      <alignment/>
      <protection hidden="1"/>
    </xf>
    <xf numFmtId="164" fontId="1" fillId="34" borderId="11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1" fontId="0" fillId="0" borderId="47" xfId="0" applyNumberFormat="1" applyBorder="1" applyAlignment="1" applyProtection="1">
      <alignment/>
      <protection hidden="1"/>
    </xf>
    <xf numFmtId="171" fontId="0" fillId="0" borderId="48" xfId="0" applyNumberFormat="1" applyBorder="1" applyAlignment="1" applyProtection="1">
      <alignment/>
      <protection hidden="1"/>
    </xf>
    <xf numFmtId="171" fontId="0" fillId="0" borderId="49" xfId="0" applyNumberFormat="1" applyBorder="1" applyAlignment="1" applyProtection="1">
      <alignment/>
      <protection hidden="1"/>
    </xf>
    <xf numFmtId="171" fontId="0" fillId="0" borderId="50" xfId="0" applyNumberFormat="1" applyBorder="1" applyAlignment="1" applyProtection="1">
      <alignment/>
      <protection hidden="1"/>
    </xf>
    <xf numFmtId="171" fontId="0" fillId="0" borderId="11" xfId="0" applyNumberFormat="1" applyBorder="1" applyAlignment="1" applyProtection="1">
      <alignment/>
      <protection hidden="1"/>
    </xf>
    <xf numFmtId="171" fontId="0" fillId="0" borderId="16" xfId="0" applyNumberFormat="1" applyBorder="1" applyAlignment="1" applyProtection="1">
      <alignment/>
      <protection hidden="1"/>
    </xf>
    <xf numFmtId="171" fontId="0" fillId="0" borderId="0" xfId="0" applyNumberFormat="1" applyBorder="1" applyAlignment="1" applyProtection="1">
      <alignment/>
      <protection hidden="1"/>
    </xf>
    <xf numFmtId="171" fontId="0" fillId="0" borderId="44" xfId="0" applyNumberFormat="1" applyBorder="1" applyAlignment="1" applyProtection="1">
      <alignment/>
      <protection hidden="1"/>
    </xf>
    <xf numFmtId="171" fontId="0" fillId="0" borderId="18" xfId="0" applyNumberFormat="1" applyBorder="1" applyAlignment="1" applyProtection="1">
      <alignment/>
      <protection hidden="1"/>
    </xf>
    <xf numFmtId="171" fontId="0" fillId="0" borderId="51" xfId="0" applyNumberFormat="1" applyBorder="1" applyAlignment="1" applyProtection="1">
      <alignment/>
      <protection hidden="1"/>
    </xf>
    <xf numFmtId="171" fontId="1" fillId="2" borderId="30" xfId="0" applyNumberFormat="1" applyFont="1" applyFill="1" applyBorder="1" applyAlignment="1" applyProtection="1">
      <alignment/>
      <protection hidden="1"/>
    </xf>
    <xf numFmtId="171" fontId="0" fillId="0" borderId="52" xfId="0" applyNumberFormat="1" applyBorder="1" applyAlignment="1" applyProtection="1">
      <alignment/>
      <protection hidden="1"/>
    </xf>
    <xf numFmtId="171" fontId="0" fillId="0" borderId="27" xfId="0" applyNumberFormat="1" applyBorder="1" applyAlignment="1" applyProtection="1">
      <alignment/>
      <protection hidden="1"/>
    </xf>
    <xf numFmtId="171" fontId="0" fillId="0" borderId="28" xfId="0" applyNumberFormat="1" applyBorder="1" applyAlignment="1" applyProtection="1">
      <alignment/>
      <protection hidden="1"/>
    </xf>
    <xf numFmtId="165" fontId="0" fillId="0" borderId="11" xfId="44" applyNumberFormat="1" applyFont="1" applyBorder="1" applyAlignment="1" applyProtection="1">
      <alignment/>
      <protection hidden="1"/>
    </xf>
    <xf numFmtId="165" fontId="1" fillId="0" borderId="0" xfId="0" applyNumberFormat="1" applyFont="1" applyBorder="1" applyAlignment="1">
      <alignment/>
    </xf>
    <xf numFmtId="10" fontId="1" fillId="2" borderId="34" xfId="0" applyNumberFormat="1" applyFont="1" applyFill="1" applyBorder="1" applyAlignment="1">
      <alignment/>
    </xf>
    <xf numFmtId="10" fontId="1" fillId="2" borderId="53" xfId="0" applyNumberFormat="1" applyFont="1" applyFill="1" applyBorder="1" applyAlignment="1">
      <alignment/>
    </xf>
    <xf numFmtId="10" fontId="1" fillId="2" borderId="54" xfId="0" applyNumberFormat="1" applyFont="1" applyFill="1" applyBorder="1" applyAlignment="1">
      <alignment/>
    </xf>
    <xf numFmtId="195" fontId="1" fillId="2" borderId="3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59" xfId="0" applyBorder="1" applyAlignment="1">
      <alignment wrapText="1"/>
    </xf>
    <xf numFmtId="0" fontId="1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1" fillId="37" borderId="40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165" fontId="1" fillId="37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1" fillId="38" borderId="58" xfId="0" applyFont="1" applyFill="1" applyBorder="1" applyAlignment="1">
      <alignment horizontal="center" vertical="center" wrapText="1"/>
    </xf>
    <xf numFmtId="0" fontId="0" fillId="38" borderId="59" xfId="0" applyFill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wrapText="1"/>
    </xf>
    <xf numFmtId="165" fontId="1" fillId="38" borderId="58" xfId="0" applyNumberFormat="1" applyFont="1" applyFill="1" applyBorder="1" applyAlignment="1">
      <alignment horizontal="center" vertical="center" wrapText="1"/>
    </xf>
    <xf numFmtId="0" fontId="1" fillId="36" borderId="58" xfId="0" applyFont="1" applyFill="1" applyBorder="1" applyAlignment="1">
      <alignment horizontal="center" vertical="center" wrapText="1"/>
    </xf>
    <xf numFmtId="165" fontId="10" fillId="39" borderId="34" xfId="0" applyNumberFormat="1" applyFont="1" applyFill="1" applyBorder="1" applyAlignment="1">
      <alignment horizontal="center" vertical="center"/>
    </xf>
    <xf numFmtId="165" fontId="10" fillId="39" borderId="53" xfId="0" applyNumberFormat="1" applyFont="1" applyFill="1" applyBorder="1" applyAlignment="1">
      <alignment horizontal="center" vertical="center"/>
    </xf>
    <xf numFmtId="165" fontId="10" fillId="39" borderId="54" xfId="0" applyNumberFormat="1" applyFont="1" applyFill="1" applyBorder="1" applyAlignment="1">
      <alignment horizontal="center" vertical="center"/>
    </xf>
    <xf numFmtId="0" fontId="2" fillId="38" borderId="41" xfId="0" applyFont="1" applyFill="1" applyBorder="1" applyAlignment="1">
      <alignment horizontal="center" vertical="center"/>
    </xf>
    <xf numFmtId="0" fontId="3" fillId="38" borderId="42" xfId="0" applyFont="1" applyFill="1" applyBorder="1" applyAlignment="1">
      <alignment horizontal="center" vertical="center"/>
    </xf>
    <xf numFmtId="0" fontId="3" fillId="38" borderId="45" xfId="0" applyFont="1" applyFill="1" applyBorder="1" applyAlignment="1">
      <alignment horizontal="center" vertical="center"/>
    </xf>
    <xf numFmtId="0" fontId="2" fillId="40" borderId="34" xfId="0" applyFont="1" applyFill="1" applyBorder="1" applyAlignment="1">
      <alignment horizontal="center" vertical="center"/>
    </xf>
    <xf numFmtId="0" fontId="2" fillId="40" borderId="53" xfId="0" applyFont="1" applyFill="1" applyBorder="1" applyAlignment="1">
      <alignment horizontal="center" vertical="center"/>
    </xf>
    <xf numFmtId="0" fontId="2" fillId="40" borderId="54" xfId="0" applyFont="1" applyFill="1" applyBorder="1" applyAlignment="1">
      <alignment horizontal="center" vertical="center"/>
    </xf>
    <xf numFmtId="0" fontId="2" fillId="41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2" fontId="4" fillId="42" borderId="34" xfId="0" applyNumberFormat="1" applyFont="1" applyFill="1" applyBorder="1" applyAlignment="1">
      <alignment horizontal="center" vertical="center" wrapText="1"/>
    </xf>
    <xf numFmtId="2" fontId="4" fillId="42" borderId="53" xfId="0" applyNumberFormat="1" applyFont="1" applyFill="1" applyBorder="1" applyAlignment="1">
      <alignment horizontal="center" vertical="center" wrapText="1"/>
    </xf>
    <xf numFmtId="2" fontId="4" fillId="42" borderId="54" xfId="0" applyNumberFormat="1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167" fontId="4" fillId="42" borderId="34" xfId="0" applyNumberFormat="1" applyFont="1" applyFill="1" applyBorder="1" applyAlignment="1">
      <alignment horizontal="center" vertical="center"/>
    </xf>
    <xf numFmtId="167" fontId="4" fillId="42" borderId="53" xfId="0" applyNumberFormat="1" applyFont="1" applyFill="1" applyBorder="1" applyAlignment="1">
      <alignment horizontal="center" vertical="center"/>
    </xf>
    <xf numFmtId="167" fontId="4" fillId="42" borderId="5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32" fillId="0" borderId="38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4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92D050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136</xdr:row>
      <xdr:rowOff>47625</xdr:rowOff>
    </xdr:from>
    <xdr:to>
      <xdr:col>3</xdr:col>
      <xdr:colOff>438150</xdr:colOff>
      <xdr:row>138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7175"/>
          <a:ext cx="1466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E193"/>
  <sheetViews>
    <sheetView tabSelected="1" zoomScale="110" zoomScaleNormal="110" zoomScalePageLayoutView="0" workbookViewId="0" topLeftCell="A136">
      <selection activeCell="E137" sqref="E137:L139"/>
    </sheetView>
  </sheetViews>
  <sheetFormatPr defaultColWidth="10.28125" defaultRowHeight="12.75"/>
  <cols>
    <col min="1" max="1" width="3.28125" style="0" customWidth="1"/>
    <col min="2" max="2" width="4.8515625" style="0" customWidth="1"/>
    <col min="3" max="3" width="16.140625" style="5" customWidth="1"/>
    <col min="4" max="4" width="12.8515625" style="0" bestFit="1" customWidth="1"/>
    <col min="5" max="5" width="11.140625" style="0" bestFit="1" customWidth="1"/>
    <col min="6" max="6" width="10.140625" style="0" bestFit="1" customWidth="1"/>
    <col min="7" max="7" width="12.57421875" style="0" bestFit="1" customWidth="1"/>
    <col min="8" max="8" width="10.28125" style="0" customWidth="1"/>
    <col min="9" max="9" width="12.7109375" style="0" customWidth="1"/>
    <col min="10" max="10" width="10.8515625" style="0" customWidth="1"/>
    <col min="11" max="11" width="16.00390625" style="1" customWidth="1"/>
    <col min="12" max="12" width="5.8515625" style="1" customWidth="1"/>
    <col min="13" max="13" width="10.28125" style="1" customWidth="1"/>
    <col min="14" max="14" width="12.140625" style="1" customWidth="1"/>
    <col min="15" max="15" width="10.28125" style="5" customWidth="1"/>
    <col min="16" max="16" width="10.28125" style="1" hidden="1" customWidth="1"/>
    <col min="17" max="17" width="10.28125" style="6" hidden="1" customWidth="1"/>
    <col min="18" max="18" width="13.8515625" style="0" hidden="1" customWidth="1"/>
    <col min="19" max="19" width="11.00390625" style="0" hidden="1" customWidth="1"/>
    <col min="20" max="30" width="10.28125" style="0" hidden="1" customWidth="1"/>
    <col min="31" max="31" width="10.28125" style="0" customWidth="1"/>
  </cols>
  <sheetData>
    <row r="1" ht="12" customHeight="1" hidden="1"/>
    <row r="2" spans="3:20" ht="13.5" hidden="1" thickBot="1">
      <c r="C2" s="11"/>
      <c r="D2" s="16"/>
      <c r="E2" s="15"/>
      <c r="F2" s="15"/>
      <c r="G2" s="15"/>
      <c r="H2" s="15"/>
      <c r="I2" s="12"/>
      <c r="J2" s="3"/>
      <c r="K2" s="4"/>
      <c r="L2" s="4"/>
      <c r="M2" s="4"/>
      <c r="N2" s="4"/>
      <c r="O2" s="12"/>
      <c r="P2" s="7"/>
      <c r="Q2" s="14"/>
      <c r="R2" s="14"/>
      <c r="S2" s="10"/>
      <c r="T2" s="10"/>
    </row>
    <row r="3" spans="3:18" ht="27.75" customHeight="1" hidden="1" thickBot="1">
      <c r="C3" s="194" t="s">
        <v>22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6"/>
    </row>
    <row r="4" spans="3:18" ht="24" customHeight="1" hidden="1" thickBot="1">
      <c r="C4" s="13"/>
      <c r="D4" s="179" t="s">
        <v>19</v>
      </c>
      <c r="E4" s="180"/>
      <c r="F4" s="180"/>
      <c r="G4" s="181"/>
      <c r="H4" s="182" t="s">
        <v>18</v>
      </c>
      <c r="I4" s="183"/>
      <c r="J4" s="183"/>
      <c r="K4" s="183"/>
      <c r="L4" s="183"/>
      <c r="M4" s="183"/>
      <c r="N4" s="183"/>
      <c r="O4" s="184"/>
      <c r="P4" s="185" t="s">
        <v>11</v>
      </c>
      <c r="Q4" s="186"/>
      <c r="R4" s="187"/>
    </row>
    <row r="5" spans="3:18" ht="13.5" customHeight="1" hidden="1">
      <c r="C5" s="175" t="s">
        <v>20</v>
      </c>
      <c r="D5" s="166" t="s">
        <v>1</v>
      </c>
      <c r="E5" s="166" t="s">
        <v>2</v>
      </c>
      <c r="F5" s="166" t="s">
        <v>3</v>
      </c>
      <c r="G5" s="166" t="s">
        <v>4</v>
      </c>
      <c r="H5" s="159" t="s">
        <v>8</v>
      </c>
      <c r="I5" s="157" t="s">
        <v>12</v>
      </c>
      <c r="J5" s="159" t="s">
        <v>13</v>
      </c>
      <c r="K5" s="159" t="s">
        <v>15</v>
      </c>
      <c r="L5" s="159" t="s">
        <v>14</v>
      </c>
      <c r="M5" s="159" t="s">
        <v>21</v>
      </c>
      <c r="N5" s="159" t="s">
        <v>17</v>
      </c>
      <c r="O5" s="159" t="s">
        <v>16</v>
      </c>
      <c r="P5" s="174" t="s">
        <v>9</v>
      </c>
      <c r="Q5" s="169" t="s">
        <v>7</v>
      </c>
      <c r="R5" s="169" t="s">
        <v>10</v>
      </c>
    </row>
    <row r="6" spans="3:18" ht="12.75" hidden="1">
      <c r="C6" s="167"/>
      <c r="D6" s="173"/>
      <c r="E6" s="167"/>
      <c r="F6" s="168"/>
      <c r="G6" s="168"/>
      <c r="H6" s="168"/>
      <c r="I6" s="158"/>
      <c r="J6" s="160"/>
      <c r="K6" s="161"/>
      <c r="L6" s="161"/>
      <c r="M6" s="172"/>
      <c r="N6" s="161"/>
      <c r="O6" s="173"/>
      <c r="P6" s="170"/>
      <c r="Q6" s="170"/>
      <c r="R6" s="171"/>
    </row>
    <row r="7" spans="3:18" ht="13.5" hidden="1" thickBot="1">
      <c r="C7" s="167"/>
      <c r="D7" s="173"/>
      <c r="E7" s="167"/>
      <c r="F7" s="168"/>
      <c r="G7" s="168"/>
      <c r="H7" s="168"/>
      <c r="I7" s="158"/>
      <c r="J7" s="160"/>
      <c r="K7" s="161"/>
      <c r="L7" s="161"/>
      <c r="M7" s="172"/>
      <c r="N7" s="161"/>
      <c r="O7" s="173"/>
      <c r="P7" s="170"/>
      <c r="Q7" s="170"/>
      <c r="R7" s="171"/>
    </row>
    <row r="8" spans="3:18" ht="12.75" hidden="1">
      <c r="C8" s="20">
        <v>36892</v>
      </c>
      <c r="D8" s="21">
        <v>1.1725</v>
      </c>
      <c r="E8" s="21">
        <v>1.0165</v>
      </c>
      <c r="F8" s="21">
        <v>1.118</v>
      </c>
      <c r="G8" s="21">
        <v>0.2484</v>
      </c>
      <c r="H8" s="22">
        <f aca="true" t="shared" si="0" ref="H8:H13">ROUND(M8+0.007,4)</f>
        <v>1.2966</v>
      </c>
      <c r="I8" s="22">
        <f aca="true" t="shared" si="1" ref="I8:I13">ROUND((D8-0.115)/0.82,4)</f>
        <v>1.2896</v>
      </c>
      <c r="J8" s="22">
        <f aca="true" t="shared" si="2" ref="J8:J13">ROUND(((F8-0.165)*1.405+(((F8-0.165)*1.582)-I8)*1.28),4)</f>
        <v>1.6181</v>
      </c>
      <c r="K8" s="22">
        <f aca="true" t="shared" si="3" ref="K8:K13">ROUND((G8-0.14)/0.968,4)</f>
        <v>0.112</v>
      </c>
      <c r="L8" s="23">
        <f aca="true" t="shared" si="4" ref="L8:L13">ROUND((J8*3.1+K8*5.9),2)</f>
        <v>5.68</v>
      </c>
      <c r="M8" s="22">
        <f aca="true" t="shared" si="5" ref="M8:M13">ROUND((D8-0.115)/0.82,4)</f>
        <v>1.2896</v>
      </c>
      <c r="N8" s="22">
        <f aca="true" t="shared" si="6" ref="N8:N13">ROUND((E8-0.14),4)</f>
        <v>0.8765</v>
      </c>
      <c r="O8" s="23">
        <f aca="true" t="shared" si="7" ref="O8:O34">ROUND(N8*9,2)</f>
        <v>7.89</v>
      </c>
      <c r="P8" s="23" t="e">
        <f>H8*3.5+0.965*#REF!</f>
        <v>#REF!</v>
      </c>
      <c r="Q8" s="23">
        <f aca="true" t="shared" si="8" ref="Q8:Q13">ROUND(L8*0.965+I8*3.5,2)</f>
        <v>9.99</v>
      </c>
      <c r="R8" s="24">
        <f aca="true" t="shared" si="9" ref="R8:R13">ROUND(O8*0.965+M8*3.5,2)</f>
        <v>12.13</v>
      </c>
    </row>
    <row r="9" spans="3:18" ht="12.75" hidden="1">
      <c r="C9" s="25">
        <v>36923</v>
      </c>
      <c r="D9" s="17">
        <v>1.3143</v>
      </c>
      <c r="E9" s="17">
        <v>1.0137</v>
      </c>
      <c r="F9" s="17">
        <v>1.1467</v>
      </c>
      <c r="G9" s="17">
        <v>0.2561</v>
      </c>
      <c r="H9" s="18">
        <f t="shared" si="0"/>
        <v>1.4696</v>
      </c>
      <c r="I9" s="18">
        <f t="shared" si="1"/>
        <v>1.4626</v>
      </c>
      <c r="J9" s="18">
        <f t="shared" si="2"/>
        <v>1.4951</v>
      </c>
      <c r="K9" s="18">
        <f t="shared" si="3"/>
        <v>0.1199</v>
      </c>
      <c r="L9" s="19">
        <f t="shared" si="4"/>
        <v>5.34</v>
      </c>
      <c r="M9" s="18">
        <f t="shared" si="5"/>
        <v>1.4626</v>
      </c>
      <c r="N9" s="18">
        <f t="shared" si="6"/>
        <v>0.8737</v>
      </c>
      <c r="O9" s="19">
        <f t="shared" si="7"/>
        <v>7.86</v>
      </c>
      <c r="P9" s="19" t="e">
        <f>H9*3.5+0.965*#REF!</f>
        <v>#REF!</v>
      </c>
      <c r="Q9" s="19">
        <f t="shared" si="8"/>
        <v>10.27</v>
      </c>
      <c r="R9" s="26">
        <f t="shared" si="9"/>
        <v>12.7</v>
      </c>
    </row>
    <row r="10" spans="3:18" ht="12.75" hidden="1">
      <c r="C10" s="25">
        <v>36951</v>
      </c>
      <c r="D10" s="17">
        <v>1.4942</v>
      </c>
      <c r="E10" s="17">
        <v>1.0127</v>
      </c>
      <c r="F10" s="17">
        <v>1.2737</v>
      </c>
      <c r="G10" s="17">
        <v>0.2406</v>
      </c>
      <c r="H10" s="18">
        <f t="shared" si="0"/>
        <v>1.689</v>
      </c>
      <c r="I10" s="18">
        <f t="shared" si="1"/>
        <v>1.682</v>
      </c>
      <c r="J10" s="18">
        <f t="shared" si="2"/>
        <v>1.6498</v>
      </c>
      <c r="K10" s="18">
        <f t="shared" si="3"/>
        <v>0.1039</v>
      </c>
      <c r="L10" s="19">
        <f t="shared" si="4"/>
        <v>5.73</v>
      </c>
      <c r="M10" s="18">
        <f t="shared" si="5"/>
        <v>1.682</v>
      </c>
      <c r="N10" s="18">
        <f t="shared" si="6"/>
        <v>0.8727</v>
      </c>
      <c r="O10" s="19">
        <f t="shared" si="7"/>
        <v>7.85</v>
      </c>
      <c r="P10" s="19" t="e">
        <f>H10*3.5+0.965*#REF!</f>
        <v>#REF!</v>
      </c>
      <c r="Q10" s="19">
        <f t="shared" si="8"/>
        <v>11.42</v>
      </c>
      <c r="R10" s="26">
        <f t="shared" si="9"/>
        <v>13.46</v>
      </c>
    </row>
    <row r="11" spans="3:18" ht="12.75" hidden="1">
      <c r="C11" s="25">
        <v>36982</v>
      </c>
      <c r="D11" s="17">
        <v>1.7126</v>
      </c>
      <c r="E11" s="17">
        <v>1.0145</v>
      </c>
      <c r="F11" s="17">
        <v>1.3423</v>
      </c>
      <c r="G11" s="17">
        <v>0.2446</v>
      </c>
      <c r="H11" s="18">
        <f t="shared" si="0"/>
        <v>1.9553</v>
      </c>
      <c r="I11" s="18">
        <f t="shared" si="1"/>
        <v>1.9483</v>
      </c>
      <c r="J11" s="18">
        <f t="shared" si="2"/>
        <v>1.5443</v>
      </c>
      <c r="K11" s="18">
        <f t="shared" si="3"/>
        <v>0.1081</v>
      </c>
      <c r="L11" s="19">
        <f t="shared" si="4"/>
        <v>5.43</v>
      </c>
      <c r="M11" s="18">
        <f t="shared" si="5"/>
        <v>1.9483</v>
      </c>
      <c r="N11" s="18">
        <f t="shared" si="6"/>
        <v>0.8745</v>
      </c>
      <c r="O11" s="19">
        <f t="shared" si="7"/>
        <v>7.87</v>
      </c>
      <c r="P11" s="19" t="e">
        <f>H11*3.5+0.965*#REF!</f>
        <v>#REF!</v>
      </c>
      <c r="Q11" s="19">
        <f t="shared" si="8"/>
        <v>12.06</v>
      </c>
      <c r="R11" s="26">
        <f t="shared" si="9"/>
        <v>14.41</v>
      </c>
    </row>
    <row r="12" spans="3:18" ht="12.75" hidden="1">
      <c r="C12" s="25">
        <v>37012</v>
      </c>
      <c r="D12" s="17">
        <v>1.8527</v>
      </c>
      <c r="E12" s="17">
        <v>1.018</v>
      </c>
      <c r="F12" s="17">
        <v>1.5129</v>
      </c>
      <c r="G12" s="17">
        <v>0.259</v>
      </c>
      <c r="H12" s="18">
        <f t="shared" si="0"/>
        <v>2.1261</v>
      </c>
      <c r="I12" s="18">
        <f t="shared" si="1"/>
        <v>2.1191</v>
      </c>
      <c r="J12" s="18">
        <f t="shared" si="2"/>
        <v>1.9108</v>
      </c>
      <c r="K12" s="18">
        <f t="shared" si="3"/>
        <v>0.1229</v>
      </c>
      <c r="L12" s="19">
        <f t="shared" si="4"/>
        <v>6.65</v>
      </c>
      <c r="M12" s="18">
        <f t="shared" si="5"/>
        <v>2.1191</v>
      </c>
      <c r="N12" s="18">
        <f t="shared" si="6"/>
        <v>0.878</v>
      </c>
      <c r="O12" s="19">
        <f t="shared" si="7"/>
        <v>7.9</v>
      </c>
      <c r="P12" s="19" t="e">
        <f>H12*3.5+0.965*#REF!</f>
        <v>#REF!</v>
      </c>
      <c r="Q12" s="19">
        <f t="shared" si="8"/>
        <v>13.83</v>
      </c>
      <c r="R12" s="26">
        <f t="shared" si="9"/>
        <v>15.04</v>
      </c>
    </row>
    <row r="13" spans="3:18" ht="12.75" hidden="1">
      <c r="C13" s="25">
        <v>37043</v>
      </c>
      <c r="D13" s="17">
        <v>1.9263</v>
      </c>
      <c r="E13" s="17">
        <v>1.0148</v>
      </c>
      <c r="F13" s="17">
        <v>1.6211</v>
      </c>
      <c r="G13" s="17">
        <v>0.2764</v>
      </c>
      <c r="H13" s="18">
        <f t="shared" si="0"/>
        <v>2.2159</v>
      </c>
      <c r="I13" s="18">
        <f t="shared" si="1"/>
        <v>2.2089</v>
      </c>
      <c r="J13" s="18">
        <f t="shared" si="2"/>
        <v>2.167</v>
      </c>
      <c r="K13" s="18">
        <f t="shared" si="3"/>
        <v>0.1409</v>
      </c>
      <c r="L13" s="19">
        <f t="shared" si="4"/>
        <v>7.55</v>
      </c>
      <c r="M13" s="18">
        <f t="shared" si="5"/>
        <v>2.2089</v>
      </c>
      <c r="N13" s="18">
        <f t="shared" si="6"/>
        <v>0.8748</v>
      </c>
      <c r="O13" s="19">
        <f t="shared" si="7"/>
        <v>7.87</v>
      </c>
      <c r="P13" s="19" t="e">
        <f>H13*3.5+0.965*#REF!</f>
        <v>#REF!</v>
      </c>
      <c r="Q13" s="19">
        <f t="shared" si="8"/>
        <v>15.02</v>
      </c>
      <c r="R13" s="26">
        <f t="shared" si="9"/>
        <v>15.33</v>
      </c>
    </row>
    <row r="14" spans="3:18" ht="12.75" hidden="1">
      <c r="C14" s="25">
        <v>37073</v>
      </c>
      <c r="D14" s="17">
        <v>1.9094</v>
      </c>
      <c r="E14" s="17">
        <v>0.9634</v>
      </c>
      <c r="F14" s="17">
        <v>1.6573</v>
      </c>
      <c r="G14" s="17">
        <v>0.2862</v>
      </c>
      <c r="H14" s="18">
        <f aca="true" t="shared" si="10" ref="H14:H19">ROUND(M14+0.007,4)</f>
        <v>2.1953</v>
      </c>
      <c r="I14" s="18">
        <f aca="true" t="shared" si="11" ref="I14:I19">ROUND((D14-0.115)/0.82,4)</f>
        <v>2.1883</v>
      </c>
      <c r="J14" s="18">
        <f aca="true" t="shared" si="12" ref="J14:J19">ROUND(((F14-0.165)*1.405+(((F14-0.165)*1.582)-I14)*1.28),4)</f>
        <v>2.3175</v>
      </c>
      <c r="K14" s="18">
        <f aca="true" t="shared" si="13" ref="K14:K19">ROUND((G14-0.14)/0.968,4)</f>
        <v>0.151</v>
      </c>
      <c r="L14" s="19">
        <f aca="true" t="shared" si="14" ref="L14:L19">ROUND((J14*3.1+K14*5.9),2)</f>
        <v>8.08</v>
      </c>
      <c r="M14" s="18">
        <f aca="true" t="shared" si="15" ref="M14:M19">ROUND((D14-0.115)/0.82,4)</f>
        <v>2.1883</v>
      </c>
      <c r="N14" s="18">
        <f aca="true" t="shared" si="16" ref="N14:N19">ROUND((E14-0.14),4)</f>
        <v>0.8234</v>
      </c>
      <c r="O14" s="19">
        <f t="shared" si="7"/>
        <v>7.41</v>
      </c>
      <c r="P14" s="19" t="e">
        <f>H14*3.5+0.965*#REF!</f>
        <v>#REF!</v>
      </c>
      <c r="Q14" s="19">
        <f aca="true" t="shared" si="17" ref="Q14:Q19">ROUND(L14*0.965+I14*3.5,2)</f>
        <v>15.46</v>
      </c>
      <c r="R14" s="26">
        <f aca="true" t="shared" si="18" ref="R14:R19">ROUND(O14*0.965+M14*3.5,2)</f>
        <v>14.81</v>
      </c>
    </row>
    <row r="15" spans="3:18" ht="12.75" hidden="1">
      <c r="C15" s="25">
        <v>37104</v>
      </c>
      <c r="D15" s="17">
        <v>1.999</v>
      </c>
      <c r="E15" s="17">
        <v>0.9473</v>
      </c>
      <c r="F15" s="17">
        <v>1.6693</v>
      </c>
      <c r="G15" s="17">
        <v>0.2886</v>
      </c>
      <c r="H15" s="18">
        <f t="shared" si="10"/>
        <v>2.3046</v>
      </c>
      <c r="I15" s="18">
        <f t="shared" si="11"/>
        <v>2.2976</v>
      </c>
      <c r="J15" s="18">
        <f t="shared" si="12"/>
        <v>2.2188</v>
      </c>
      <c r="K15" s="18">
        <f t="shared" si="13"/>
        <v>0.1535</v>
      </c>
      <c r="L15" s="19">
        <f t="shared" si="14"/>
        <v>7.78</v>
      </c>
      <c r="M15" s="18">
        <f t="shared" si="15"/>
        <v>2.2976</v>
      </c>
      <c r="N15" s="18">
        <f t="shared" si="16"/>
        <v>0.8073</v>
      </c>
      <c r="O15" s="19">
        <f t="shared" si="7"/>
        <v>7.27</v>
      </c>
      <c r="P15" s="19" t="e">
        <f>H15*3.5+0.965*#REF!</f>
        <v>#REF!</v>
      </c>
      <c r="Q15" s="19">
        <f t="shared" si="17"/>
        <v>15.55</v>
      </c>
      <c r="R15" s="26">
        <f t="shared" si="18"/>
        <v>15.06</v>
      </c>
    </row>
    <row r="16" spans="3:18" ht="12.75" hidden="1">
      <c r="C16" s="27">
        <v>37135</v>
      </c>
      <c r="D16" s="28">
        <v>2.1198</v>
      </c>
      <c r="E16" s="28">
        <v>0.9497</v>
      </c>
      <c r="F16" s="28">
        <v>1.7085</v>
      </c>
      <c r="G16" s="28">
        <v>0.2871</v>
      </c>
      <c r="H16" s="29">
        <f t="shared" si="10"/>
        <v>2.4519</v>
      </c>
      <c r="I16" s="29">
        <f t="shared" si="11"/>
        <v>2.4449</v>
      </c>
      <c r="J16" s="29">
        <f t="shared" si="12"/>
        <v>2.1647</v>
      </c>
      <c r="K16" s="29">
        <f t="shared" si="13"/>
        <v>0.152</v>
      </c>
      <c r="L16" s="30">
        <f t="shared" si="14"/>
        <v>7.61</v>
      </c>
      <c r="M16" s="29">
        <f t="shared" si="15"/>
        <v>2.4449</v>
      </c>
      <c r="N16" s="29">
        <f t="shared" si="16"/>
        <v>0.8097</v>
      </c>
      <c r="O16" s="30">
        <f t="shared" si="7"/>
        <v>7.29</v>
      </c>
      <c r="P16" s="30" t="e">
        <f>H16*3.5+0.965*#REF!</f>
        <v>#REF!</v>
      </c>
      <c r="Q16" s="30">
        <f t="shared" si="17"/>
        <v>15.9</v>
      </c>
      <c r="R16" s="31">
        <f t="shared" si="18"/>
        <v>15.59</v>
      </c>
    </row>
    <row r="17" spans="3:18" ht="12.75" hidden="1">
      <c r="C17" s="25">
        <v>37165</v>
      </c>
      <c r="D17" s="17">
        <v>1.4701</v>
      </c>
      <c r="E17" s="17">
        <v>0.9441</v>
      </c>
      <c r="F17" s="17">
        <v>1.5591</v>
      </c>
      <c r="G17" s="17">
        <v>0.2835</v>
      </c>
      <c r="H17" s="18">
        <f t="shared" si="10"/>
        <v>1.6596</v>
      </c>
      <c r="I17" s="18">
        <f t="shared" si="11"/>
        <v>1.6526</v>
      </c>
      <c r="J17" s="18">
        <f t="shared" si="12"/>
        <v>2.6664</v>
      </c>
      <c r="K17" s="18">
        <f t="shared" si="13"/>
        <v>0.1482</v>
      </c>
      <c r="L17" s="19">
        <f t="shared" si="14"/>
        <v>9.14</v>
      </c>
      <c r="M17" s="18">
        <f t="shared" si="15"/>
        <v>1.6526</v>
      </c>
      <c r="N17" s="18">
        <f t="shared" si="16"/>
        <v>0.8041</v>
      </c>
      <c r="O17" s="19">
        <f t="shared" si="7"/>
        <v>7.24</v>
      </c>
      <c r="P17" s="19" t="e">
        <f>H17*3.5+0.965*#REF!</f>
        <v>#REF!</v>
      </c>
      <c r="Q17" s="19">
        <f t="shared" si="17"/>
        <v>14.6</v>
      </c>
      <c r="R17" s="26">
        <f t="shared" si="18"/>
        <v>12.77</v>
      </c>
    </row>
    <row r="18" spans="3:18" ht="12.75" hidden="1">
      <c r="C18" s="25">
        <v>37196</v>
      </c>
      <c r="D18" s="17">
        <v>1.304</v>
      </c>
      <c r="E18" s="17">
        <v>0.9349</v>
      </c>
      <c r="F18" s="17">
        <v>1.2322</v>
      </c>
      <c r="G18" s="17">
        <v>0.2823</v>
      </c>
      <c r="H18" s="18">
        <f t="shared" si="10"/>
        <v>1.457</v>
      </c>
      <c r="I18" s="18">
        <f t="shared" si="11"/>
        <v>1.45</v>
      </c>
      <c r="J18" s="18">
        <f t="shared" si="12"/>
        <v>1.8045</v>
      </c>
      <c r="K18" s="18">
        <f t="shared" si="13"/>
        <v>0.147</v>
      </c>
      <c r="L18" s="19">
        <f t="shared" si="14"/>
        <v>6.46</v>
      </c>
      <c r="M18" s="18">
        <f t="shared" si="15"/>
        <v>1.45</v>
      </c>
      <c r="N18" s="18">
        <f t="shared" si="16"/>
        <v>0.7949</v>
      </c>
      <c r="O18" s="19">
        <f t="shared" si="7"/>
        <v>7.15</v>
      </c>
      <c r="P18" s="19" t="e">
        <f>H18*3.5+0.965*#REF!</f>
        <v>#REF!</v>
      </c>
      <c r="Q18" s="19">
        <f t="shared" si="17"/>
        <v>11.31</v>
      </c>
      <c r="R18" s="26">
        <f t="shared" si="18"/>
        <v>11.97</v>
      </c>
    </row>
    <row r="19" spans="3:18" ht="12.75" hidden="1">
      <c r="C19" s="25">
        <v>37226</v>
      </c>
      <c r="D19" s="17">
        <v>1.2894</v>
      </c>
      <c r="E19" s="17">
        <v>0.9199</v>
      </c>
      <c r="F19" s="17">
        <v>1.2762</v>
      </c>
      <c r="G19" s="17">
        <v>0.2868</v>
      </c>
      <c r="H19" s="18">
        <f t="shared" si="10"/>
        <v>1.4392</v>
      </c>
      <c r="I19" s="18">
        <f t="shared" si="11"/>
        <v>1.4322</v>
      </c>
      <c r="J19" s="18">
        <f t="shared" si="12"/>
        <v>1.9782</v>
      </c>
      <c r="K19" s="18">
        <f t="shared" si="13"/>
        <v>0.1517</v>
      </c>
      <c r="L19" s="19">
        <f t="shared" si="14"/>
        <v>7.03</v>
      </c>
      <c r="M19" s="18">
        <f t="shared" si="15"/>
        <v>1.4322</v>
      </c>
      <c r="N19" s="18">
        <f t="shared" si="16"/>
        <v>0.7799</v>
      </c>
      <c r="O19" s="19">
        <f t="shared" si="7"/>
        <v>7.02</v>
      </c>
      <c r="P19" s="19" t="e">
        <f>H19*3.5+0.965*#REF!</f>
        <v>#REF!</v>
      </c>
      <c r="Q19" s="19">
        <f t="shared" si="17"/>
        <v>11.8</v>
      </c>
      <c r="R19" s="26">
        <f t="shared" si="18"/>
        <v>11.79</v>
      </c>
    </row>
    <row r="20" spans="3:18" ht="12.75" hidden="1">
      <c r="C20" s="25">
        <v>37257</v>
      </c>
      <c r="D20" s="17">
        <v>1.3324</v>
      </c>
      <c r="E20" s="17">
        <v>0.9161</v>
      </c>
      <c r="F20" s="17">
        <v>1.2922</v>
      </c>
      <c r="G20" s="17">
        <v>0.2747</v>
      </c>
      <c r="H20" s="18">
        <f aca="true" t="shared" si="19" ref="H20:H25">ROUND(M20+0.007,4)</f>
        <v>1.4916</v>
      </c>
      <c r="I20" s="18">
        <f aca="true" t="shared" si="20" ref="I20:I25">ROUND((D20-0.115)/0.82,4)</f>
        <v>1.4846</v>
      </c>
      <c r="J20" s="18">
        <f aca="true" t="shared" si="21" ref="J20:J25">ROUND(((F20-0.165)*1.405+(((F20-0.165)*1.582)-I20)*1.28),4)</f>
        <v>1.966</v>
      </c>
      <c r="K20" s="18">
        <f aca="true" t="shared" si="22" ref="K20:K25">ROUND((G20-0.14)/0.968,4)</f>
        <v>0.1392</v>
      </c>
      <c r="L20" s="19">
        <f aca="true" t="shared" si="23" ref="L20:L25">ROUND((J20*3.1+K20*5.9),2)</f>
        <v>6.92</v>
      </c>
      <c r="M20" s="18">
        <f aca="true" t="shared" si="24" ref="M20:M25">ROUND((D20-0.115)/0.82,4)</f>
        <v>1.4846</v>
      </c>
      <c r="N20" s="18">
        <f aca="true" t="shared" si="25" ref="N20:N25">ROUND((E20-0.14),4)</f>
        <v>0.7761</v>
      </c>
      <c r="O20" s="19">
        <f t="shared" si="7"/>
        <v>6.98</v>
      </c>
      <c r="P20" s="19" t="e">
        <f>H20*3.5+0.965*#REF!</f>
        <v>#REF!</v>
      </c>
      <c r="Q20" s="19">
        <f aca="true" t="shared" si="26" ref="Q20:Q25">ROUND(L20*0.965+I20*3.5,2)</f>
        <v>11.87</v>
      </c>
      <c r="R20" s="26">
        <f aca="true" t="shared" si="27" ref="R20:R25">ROUND(O20*0.965+M20*3.5,2)</f>
        <v>11.93</v>
      </c>
    </row>
    <row r="21" spans="3:18" ht="12.75" hidden="1">
      <c r="C21" s="25">
        <v>37288</v>
      </c>
      <c r="D21" s="17">
        <v>1.248</v>
      </c>
      <c r="E21" s="17">
        <v>0.9121</v>
      </c>
      <c r="F21" s="17">
        <v>1.2895</v>
      </c>
      <c r="G21" s="17">
        <v>0.2334</v>
      </c>
      <c r="H21" s="18">
        <f t="shared" si="19"/>
        <v>1.3887</v>
      </c>
      <c r="I21" s="18">
        <f t="shared" si="20"/>
        <v>1.3817</v>
      </c>
      <c r="J21" s="18">
        <f t="shared" si="21"/>
        <v>2.0884</v>
      </c>
      <c r="K21" s="18">
        <f t="shared" si="22"/>
        <v>0.0965</v>
      </c>
      <c r="L21" s="19">
        <f t="shared" si="23"/>
        <v>7.04</v>
      </c>
      <c r="M21" s="18">
        <f t="shared" si="24"/>
        <v>1.3817</v>
      </c>
      <c r="N21" s="18">
        <f t="shared" si="25"/>
        <v>0.7721</v>
      </c>
      <c r="O21" s="19">
        <f t="shared" si="7"/>
        <v>6.95</v>
      </c>
      <c r="P21" s="19" t="e">
        <f>H21*3.5+0.965*#REF!</f>
        <v>#REF!</v>
      </c>
      <c r="Q21" s="19">
        <f t="shared" si="26"/>
        <v>11.63</v>
      </c>
      <c r="R21" s="26">
        <f t="shared" si="27"/>
        <v>11.54</v>
      </c>
    </row>
    <row r="22" spans="3:18" ht="12.75" hidden="1">
      <c r="C22" s="32">
        <v>37316</v>
      </c>
      <c r="D22" s="33">
        <v>1.2333</v>
      </c>
      <c r="E22" s="33">
        <v>0.906</v>
      </c>
      <c r="F22" s="33">
        <v>1.2087</v>
      </c>
      <c r="G22" s="33">
        <v>0.2066</v>
      </c>
      <c r="H22" s="34">
        <f t="shared" si="19"/>
        <v>1.3708</v>
      </c>
      <c r="I22" s="34">
        <f t="shared" si="20"/>
        <v>1.3638</v>
      </c>
      <c r="J22" s="34">
        <f t="shared" si="21"/>
        <v>1.8342</v>
      </c>
      <c r="K22" s="34">
        <f t="shared" si="22"/>
        <v>0.0688</v>
      </c>
      <c r="L22" s="35">
        <f t="shared" si="23"/>
        <v>6.09</v>
      </c>
      <c r="M22" s="34">
        <f t="shared" si="24"/>
        <v>1.3638</v>
      </c>
      <c r="N22" s="34">
        <f t="shared" si="25"/>
        <v>0.766</v>
      </c>
      <c r="O22" s="35">
        <f t="shared" si="7"/>
        <v>6.89</v>
      </c>
      <c r="P22" s="35" t="e">
        <f>H22*3.5+0.965*#REF!</f>
        <v>#REF!</v>
      </c>
      <c r="Q22" s="35">
        <f t="shared" si="26"/>
        <v>10.65</v>
      </c>
      <c r="R22" s="36">
        <f t="shared" si="27"/>
        <v>11.42</v>
      </c>
    </row>
    <row r="23" spans="3:18" ht="12.75" hidden="1">
      <c r="C23" s="25">
        <v>37347</v>
      </c>
      <c r="D23" s="17">
        <v>1.172</v>
      </c>
      <c r="E23" s="17">
        <v>0.8975</v>
      </c>
      <c r="F23" s="17">
        <v>1.2323</v>
      </c>
      <c r="G23" s="17">
        <v>0.1948</v>
      </c>
      <c r="H23" s="18">
        <f t="shared" si="19"/>
        <v>1.296</v>
      </c>
      <c r="I23" s="18">
        <f t="shared" si="20"/>
        <v>1.289</v>
      </c>
      <c r="J23" s="18">
        <f t="shared" si="21"/>
        <v>2.0109</v>
      </c>
      <c r="K23" s="18">
        <f t="shared" si="22"/>
        <v>0.0566</v>
      </c>
      <c r="L23" s="19">
        <f t="shared" si="23"/>
        <v>6.57</v>
      </c>
      <c r="M23" s="18">
        <f t="shared" si="24"/>
        <v>1.289</v>
      </c>
      <c r="N23" s="18">
        <f t="shared" si="25"/>
        <v>0.7575</v>
      </c>
      <c r="O23" s="19">
        <f t="shared" si="7"/>
        <v>6.82</v>
      </c>
      <c r="P23" s="19" t="e">
        <f>H23*3.5+0.965*#REF!</f>
        <v>#REF!</v>
      </c>
      <c r="Q23" s="19">
        <f t="shared" si="26"/>
        <v>10.85</v>
      </c>
      <c r="R23" s="26">
        <f t="shared" si="27"/>
        <v>11.09</v>
      </c>
    </row>
    <row r="24" spans="3:18" ht="12.75" hidden="1">
      <c r="C24" s="25">
        <v>37377</v>
      </c>
      <c r="D24" s="17">
        <v>1.0525</v>
      </c>
      <c r="E24" s="17">
        <v>0.8972</v>
      </c>
      <c r="F24" s="17">
        <v>1.2359</v>
      </c>
      <c r="G24" s="17">
        <v>0.1759</v>
      </c>
      <c r="H24" s="18">
        <f t="shared" si="19"/>
        <v>1.1503</v>
      </c>
      <c r="I24" s="18">
        <f t="shared" si="20"/>
        <v>1.1433</v>
      </c>
      <c r="J24" s="18">
        <f t="shared" si="21"/>
        <v>2.2097</v>
      </c>
      <c r="K24" s="18">
        <f t="shared" si="22"/>
        <v>0.0371</v>
      </c>
      <c r="L24" s="19">
        <f t="shared" si="23"/>
        <v>7.07</v>
      </c>
      <c r="M24" s="18">
        <f t="shared" si="24"/>
        <v>1.1433</v>
      </c>
      <c r="N24" s="18">
        <f t="shared" si="25"/>
        <v>0.7572</v>
      </c>
      <c r="O24" s="19">
        <f t="shared" si="7"/>
        <v>6.81</v>
      </c>
      <c r="P24" s="19" t="e">
        <f>H24*3.5+0.965*#REF!</f>
        <v>#REF!</v>
      </c>
      <c r="Q24" s="19">
        <f t="shared" si="26"/>
        <v>10.82</v>
      </c>
      <c r="R24" s="26">
        <f t="shared" si="27"/>
        <v>10.57</v>
      </c>
    </row>
    <row r="25" spans="3:18" ht="12.75" hidden="1">
      <c r="C25" s="25">
        <v>37408</v>
      </c>
      <c r="D25" s="17">
        <v>1.0343</v>
      </c>
      <c r="E25" s="17">
        <v>0.9005</v>
      </c>
      <c r="F25" s="17">
        <v>1.1708</v>
      </c>
      <c r="G25" s="17">
        <v>0.1639</v>
      </c>
      <c r="H25" s="18">
        <f t="shared" si="19"/>
        <v>1.1281</v>
      </c>
      <c r="I25" s="18">
        <f t="shared" si="20"/>
        <v>1.1211</v>
      </c>
      <c r="J25" s="18">
        <f t="shared" si="21"/>
        <v>2.0148</v>
      </c>
      <c r="K25" s="18">
        <f t="shared" si="22"/>
        <v>0.0247</v>
      </c>
      <c r="L25" s="19">
        <f t="shared" si="23"/>
        <v>6.39</v>
      </c>
      <c r="M25" s="18">
        <f t="shared" si="24"/>
        <v>1.1211</v>
      </c>
      <c r="N25" s="18">
        <f t="shared" si="25"/>
        <v>0.7605</v>
      </c>
      <c r="O25" s="19">
        <f t="shared" si="7"/>
        <v>6.84</v>
      </c>
      <c r="P25" s="19" t="e">
        <f>H25*3.5+0.965*#REF!</f>
        <v>#REF!</v>
      </c>
      <c r="Q25" s="19">
        <f t="shared" si="26"/>
        <v>10.09</v>
      </c>
      <c r="R25" s="26">
        <f t="shared" si="27"/>
        <v>10.52</v>
      </c>
    </row>
    <row r="26" spans="3:18" ht="12.75" hidden="1">
      <c r="C26" s="25">
        <v>37438</v>
      </c>
      <c r="D26" s="17">
        <v>1.0112</v>
      </c>
      <c r="E26" s="17">
        <v>0.9033</v>
      </c>
      <c r="F26" s="17">
        <v>1.1004</v>
      </c>
      <c r="G26" s="17">
        <v>0.1545</v>
      </c>
      <c r="H26" s="18">
        <f aca="true" t="shared" si="28" ref="H26:H31">ROUND(M26+0.007,4)</f>
        <v>1.0999</v>
      </c>
      <c r="I26" s="18">
        <f aca="true" t="shared" si="29" ref="I26:I31">ROUND((D26-0.115)/0.82,4)</f>
        <v>1.0929</v>
      </c>
      <c r="J26" s="18">
        <f aca="true" t="shared" si="30" ref="J26:J31">ROUND(((F26-0.165)*1.405+(((F26-0.165)*1.582)-I26)*1.28),4)</f>
        <v>1.8095</v>
      </c>
      <c r="K26" s="18">
        <f aca="true" t="shared" si="31" ref="K26:K31">ROUND((G26-0.14)/0.968,4)</f>
        <v>0.015</v>
      </c>
      <c r="L26" s="19">
        <f aca="true" t="shared" si="32" ref="L26:L31">ROUND((J26*3.1+K26*5.9),2)</f>
        <v>5.7</v>
      </c>
      <c r="M26" s="18">
        <f aca="true" t="shared" si="33" ref="M26:M31">ROUND((D26-0.115)/0.82,4)</f>
        <v>1.0929</v>
      </c>
      <c r="N26" s="18">
        <f aca="true" t="shared" si="34" ref="N26:N31">ROUND((E26-0.14),4)</f>
        <v>0.7633</v>
      </c>
      <c r="O26" s="19">
        <f t="shared" si="7"/>
        <v>6.87</v>
      </c>
      <c r="P26" s="19" t="e">
        <f>H26*3.5+0.965*#REF!</f>
        <v>#REF!</v>
      </c>
      <c r="Q26" s="19">
        <f aca="true" t="shared" si="35" ref="Q26:Q31">ROUND(L26*0.965+I26*3.5,2)</f>
        <v>9.33</v>
      </c>
      <c r="R26" s="26">
        <f aca="true" t="shared" si="36" ref="R26:R31">ROUND(O26*0.965+M26*3.5,2)</f>
        <v>10.45</v>
      </c>
    </row>
    <row r="27" spans="3:18" ht="12.75" hidden="1">
      <c r="C27" s="25">
        <v>37469</v>
      </c>
      <c r="D27" s="17">
        <v>0.9925</v>
      </c>
      <c r="E27" s="17">
        <v>0.9074</v>
      </c>
      <c r="F27" s="17">
        <v>1.1189</v>
      </c>
      <c r="G27" s="17">
        <v>0.1571</v>
      </c>
      <c r="H27" s="18">
        <f t="shared" si="28"/>
        <v>1.0771</v>
      </c>
      <c r="I27" s="18">
        <f t="shared" si="29"/>
        <v>1.0701</v>
      </c>
      <c r="J27" s="18">
        <f t="shared" si="30"/>
        <v>1.9021</v>
      </c>
      <c r="K27" s="18">
        <f t="shared" si="31"/>
        <v>0.0177</v>
      </c>
      <c r="L27" s="19">
        <f t="shared" si="32"/>
        <v>6</v>
      </c>
      <c r="M27" s="18">
        <f t="shared" si="33"/>
        <v>1.0701</v>
      </c>
      <c r="N27" s="18">
        <f t="shared" si="34"/>
        <v>0.7674</v>
      </c>
      <c r="O27" s="19">
        <f t="shared" si="7"/>
        <v>6.91</v>
      </c>
      <c r="P27" s="19" t="e">
        <f>H27*3.5+0.965*#REF!</f>
        <v>#REF!</v>
      </c>
      <c r="Q27" s="19">
        <f t="shared" si="35"/>
        <v>9.54</v>
      </c>
      <c r="R27" s="26">
        <f t="shared" si="36"/>
        <v>10.41</v>
      </c>
    </row>
    <row r="28" spans="3:18" ht="12.75" hidden="1">
      <c r="C28" s="25">
        <v>37500</v>
      </c>
      <c r="D28" s="17">
        <v>0.9431</v>
      </c>
      <c r="E28" s="17">
        <v>0.9096</v>
      </c>
      <c r="F28" s="17">
        <v>1.1438</v>
      </c>
      <c r="G28" s="17">
        <v>0.1755</v>
      </c>
      <c r="H28" s="18">
        <f t="shared" si="28"/>
        <v>1.0169</v>
      </c>
      <c r="I28" s="18">
        <f t="shared" si="29"/>
        <v>1.0099</v>
      </c>
      <c r="J28" s="18">
        <f t="shared" si="30"/>
        <v>2.0646</v>
      </c>
      <c r="K28" s="18">
        <f t="shared" si="31"/>
        <v>0.0367</v>
      </c>
      <c r="L28" s="19">
        <f t="shared" si="32"/>
        <v>6.62</v>
      </c>
      <c r="M28" s="18">
        <f t="shared" si="33"/>
        <v>1.0099</v>
      </c>
      <c r="N28" s="18">
        <f t="shared" si="34"/>
        <v>0.7696</v>
      </c>
      <c r="O28" s="19">
        <f t="shared" si="7"/>
        <v>6.93</v>
      </c>
      <c r="P28" s="19" t="e">
        <f>H28*3.5+0.965*#REF!</f>
        <v>#REF!</v>
      </c>
      <c r="Q28" s="19">
        <f t="shared" si="35"/>
        <v>9.92</v>
      </c>
      <c r="R28" s="26">
        <f t="shared" si="36"/>
        <v>10.22</v>
      </c>
    </row>
    <row r="29" spans="3:18" ht="12.75" hidden="1">
      <c r="C29" s="25">
        <v>37530</v>
      </c>
      <c r="D29" s="17">
        <v>0.9945</v>
      </c>
      <c r="E29" s="17">
        <v>0.9165</v>
      </c>
      <c r="F29" s="17">
        <v>1.202</v>
      </c>
      <c r="G29" s="17">
        <v>0.2131</v>
      </c>
      <c r="H29" s="18">
        <f t="shared" si="28"/>
        <v>1.0796</v>
      </c>
      <c r="I29" s="18">
        <f t="shared" si="29"/>
        <v>1.0726</v>
      </c>
      <c r="J29" s="18">
        <f t="shared" si="30"/>
        <v>2.1839</v>
      </c>
      <c r="K29" s="18">
        <f t="shared" si="31"/>
        <v>0.0755</v>
      </c>
      <c r="L29" s="19">
        <f t="shared" si="32"/>
        <v>7.22</v>
      </c>
      <c r="M29" s="18">
        <f t="shared" si="33"/>
        <v>1.0726</v>
      </c>
      <c r="N29" s="18">
        <f t="shared" si="34"/>
        <v>0.7765</v>
      </c>
      <c r="O29" s="19">
        <f t="shared" si="7"/>
        <v>6.99</v>
      </c>
      <c r="P29" s="19" t="e">
        <f>H29*3.5+0.965*#REF!</f>
        <v>#REF!</v>
      </c>
      <c r="Q29" s="19">
        <f t="shared" si="35"/>
        <v>10.72</v>
      </c>
      <c r="R29" s="26">
        <f t="shared" si="36"/>
        <v>10.5</v>
      </c>
    </row>
    <row r="30" spans="3:18" ht="12.75" hidden="1">
      <c r="C30" s="25">
        <v>37561</v>
      </c>
      <c r="D30" s="17">
        <v>1.0107</v>
      </c>
      <c r="E30" s="17">
        <v>0.9177</v>
      </c>
      <c r="F30" s="17">
        <v>1.1111</v>
      </c>
      <c r="G30" s="17">
        <v>0.2223</v>
      </c>
      <c r="H30" s="18">
        <f t="shared" si="28"/>
        <v>1.0993</v>
      </c>
      <c r="I30" s="18">
        <f t="shared" si="29"/>
        <v>1.0923</v>
      </c>
      <c r="J30" s="18">
        <f t="shared" si="30"/>
        <v>1.8469</v>
      </c>
      <c r="K30" s="18">
        <f t="shared" si="31"/>
        <v>0.085</v>
      </c>
      <c r="L30" s="19">
        <f t="shared" si="32"/>
        <v>6.23</v>
      </c>
      <c r="M30" s="18">
        <f t="shared" si="33"/>
        <v>1.0923</v>
      </c>
      <c r="N30" s="18">
        <f t="shared" si="34"/>
        <v>0.7777</v>
      </c>
      <c r="O30" s="19">
        <f t="shared" si="7"/>
        <v>7</v>
      </c>
      <c r="P30" s="19" t="e">
        <f>H30*3.5+0.965*#REF!</f>
        <v>#REF!</v>
      </c>
      <c r="Q30" s="19">
        <f t="shared" si="35"/>
        <v>9.84</v>
      </c>
      <c r="R30" s="26">
        <f t="shared" si="36"/>
        <v>10.58</v>
      </c>
    </row>
    <row r="31" spans="3:18" ht="12.75" hidden="1">
      <c r="C31" s="25">
        <v>37591</v>
      </c>
      <c r="D31" s="17">
        <v>1.0926</v>
      </c>
      <c r="E31" s="17">
        <v>0.8682</v>
      </c>
      <c r="F31" s="17">
        <v>1.1203</v>
      </c>
      <c r="G31" s="17">
        <v>0.1965</v>
      </c>
      <c r="H31" s="18">
        <f t="shared" si="28"/>
        <v>1.1992</v>
      </c>
      <c r="I31" s="18">
        <f t="shared" si="29"/>
        <v>1.1922</v>
      </c>
      <c r="J31" s="18">
        <f t="shared" si="30"/>
        <v>1.7506</v>
      </c>
      <c r="K31" s="18">
        <f t="shared" si="31"/>
        <v>0.0584</v>
      </c>
      <c r="L31" s="19">
        <f t="shared" si="32"/>
        <v>5.77</v>
      </c>
      <c r="M31" s="18">
        <f t="shared" si="33"/>
        <v>1.1922</v>
      </c>
      <c r="N31" s="18">
        <f t="shared" si="34"/>
        <v>0.7282</v>
      </c>
      <c r="O31" s="19">
        <f t="shared" si="7"/>
        <v>6.55</v>
      </c>
      <c r="P31" s="19" t="e">
        <f>H31*3.5+0.965*#REF!</f>
        <v>#REF!</v>
      </c>
      <c r="Q31" s="19">
        <f t="shared" si="35"/>
        <v>9.74</v>
      </c>
      <c r="R31" s="26">
        <f t="shared" si="36"/>
        <v>10.49</v>
      </c>
    </row>
    <row r="32" spans="3:18" ht="12.75" hidden="1">
      <c r="C32" s="25">
        <v>37622</v>
      </c>
      <c r="D32" s="17">
        <v>1.0872</v>
      </c>
      <c r="E32" s="17">
        <v>0.8207</v>
      </c>
      <c r="F32" s="17">
        <v>1.137</v>
      </c>
      <c r="G32" s="17">
        <v>0.1728</v>
      </c>
      <c r="H32" s="18">
        <f>ROUND(M32+0.007,4)</f>
        <v>1.1926</v>
      </c>
      <c r="I32" s="18">
        <f>ROUND((D32-0.115)/0.82,4)</f>
        <v>1.1856</v>
      </c>
      <c r="J32" s="18">
        <f>ROUND(((F32-0.165)*1.405+(((F32-0.165)*1.582)-I32)*1.28),4)</f>
        <v>1.8164</v>
      </c>
      <c r="K32" s="18">
        <f>ROUND((G32-0.14)/0.968,4)</f>
        <v>0.0339</v>
      </c>
      <c r="L32" s="19">
        <f>ROUND((J32*3.1+K32*5.9),2)</f>
        <v>5.83</v>
      </c>
      <c r="M32" s="18">
        <f>ROUND((D32-0.115)/0.82,4)</f>
        <v>1.1856</v>
      </c>
      <c r="N32" s="18">
        <f>ROUND((E32-0.14),4)</f>
        <v>0.6807</v>
      </c>
      <c r="O32" s="19">
        <f t="shared" si="7"/>
        <v>6.13</v>
      </c>
      <c r="P32" s="19" t="e">
        <f>H32*3.5+0.965*#REF!</f>
        <v>#REF!</v>
      </c>
      <c r="Q32" s="19">
        <f>ROUND(L32*0.965+I32*3.5,2)</f>
        <v>9.78</v>
      </c>
      <c r="R32" s="26">
        <f>ROUND(O32*0.965+M32*3.5,2)</f>
        <v>10.07</v>
      </c>
    </row>
    <row r="33" spans="3:18" ht="12.75" hidden="1">
      <c r="C33" s="25">
        <v>37653</v>
      </c>
      <c r="D33" s="17">
        <v>1.0476</v>
      </c>
      <c r="E33" s="17">
        <v>0.8111</v>
      </c>
      <c r="F33" s="17">
        <v>1.1299</v>
      </c>
      <c r="G33" s="17">
        <v>0.1632</v>
      </c>
      <c r="H33" s="18">
        <f>ROUND(M33+0.007,4)</f>
        <v>1.1443</v>
      </c>
      <c r="I33" s="18">
        <f>ROUND((D33-0.115)/0.82,4)</f>
        <v>1.1373</v>
      </c>
      <c r="J33" s="18">
        <f>ROUND(((F33-0.165)*1.405+(((F33-0.165)*1.582)-I33)*1.28),4)</f>
        <v>1.8538</v>
      </c>
      <c r="K33" s="18">
        <f>ROUND((G33-0.14)/0.968,4)</f>
        <v>0.024</v>
      </c>
      <c r="L33" s="19">
        <f>ROUND((J33*3.1+K33*5.9),2)</f>
        <v>5.89</v>
      </c>
      <c r="M33" s="18">
        <f>ROUND((D33-0.115)/0.82,4)</f>
        <v>1.1373</v>
      </c>
      <c r="N33" s="18">
        <f>ROUND((E33-0.14),4)</f>
        <v>0.6711</v>
      </c>
      <c r="O33" s="19">
        <f t="shared" si="7"/>
        <v>6.04</v>
      </c>
      <c r="P33" s="19" t="e">
        <f>H33*3.5+0.965*#REF!</f>
        <v>#REF!</v>
      </c>
      <c r="Q33" s="19">
        <f>ROUND(L33*0.965+I33*3.5,2)</f>
        <v>9.66</v>
      </c>
      <c r="R33" s="26">
        <f>ROUND(O33*0.965+M33*3.5,2)</f>
        <v>9.81</v>
      </c>
    </row>
    <row r="34" spans="3:18" ht="13.5" hidden="1" thickBot="1">
      <c r="C34" s="37">
        <v>37681</v>
      </c>
      <c r="D34" s="38">
        <v>1.0546</v>
      </c>
      <c r="E34" s="38">
        <v>0.8051</v>
      </c>
      <c r="F34" s="38">
        <v>1.078</v>
      </c>
      <c r="G34" s="38">
        <v>0.1599</v>
      </c>
      <c r="H34" s="39">
        <f>ROUND(M34+0.007,4)</f>
        <v>1.1529</v>
      </c>
      <c r="I34" s="39">
        <f>ROUND((D34-0.115)/0.82,4)</f>
        <v>1.1459</v>
      </c>
      <c r="J34" s="39">
        <f>ROUND(((F34-0.165)*1.405+(((F34-0.165)*1.582)-I34)*1.28),4)</f>
        <v>1.6648</v>
      </c>
      <c r="K34" s="39">
        <f>ROUND((G34-0.14)/0.968,4)</f>
        <v>0.0206</v>
      </c>
      <c r="L34" s="40">
        <f>ROUND((J34*3.1+K34*5.9),2)</f>
        <v>5.28</v>
      </c>
      <c r="M34" s="39">
        <f>ROUND((D34-0.115)/0.82,4)</f>
        <v>1.1459</v>
      </c>
      <c r="N34" s="39">
        <f>ROUND((E34-0.14),4)</f>
        <v>0.6651</v>
      </c>
      <c r="O34" s="40">
        <f t="shared" si="7"/>
        <v>5.99</v>
      </c>
      <c r="P34" s="40" t="e">
        <f>H34*3.5+0.965*#REF!</f>
        <v>#REF!</v>
      </c>
      <c r="Q34" s="40">
        <f>ROUND(L34*0.965+I34*3.5,2)</f>
        <v>9.11</v>
      </c>
      <c r="R34" s="41">
        <f>ROUND(O34*0.965+M34*3.5,2)</f>
        <v>9.79</v>
      </c>
    </row>
    <row r="35" spans="3:18" ht="12.75" hidden="1">
      <c r="C35" s="12"/>
      <c r="D35" s="15"/>
      <c r="E35" s="15"/>
      <c r="F35" s="15"/>
      <c r="G35" s="15"/>
      <c r="H35" s="8"/>
      <c r="I35" s="8"/>
      <c r="J35" s="8"/>
      <c r="K35" s="8"/>
      <c r="L35" s="14"/>
      <c r="M35" s="8"/>
      <c r="N35" s="8"/>
      <c r="O35" s="14"/>
      <c r="P35" s="14"/>
      <c r="Q35" s="14"/>
      <c r="R35" s="14"/>
    </row>
    <row r="36" spans="3:12" ht="37.5" customHeight="1" hidden="1">
      <c r="C36" s="197" t="s">
        <v>24</v>
      </c>
      <c r="D36" s="197"/>
      <c r="E36" s="197"/>
      <c r="F36" s="197"/>
      <c r="G36" s="197"/>
      <c r="H36" s="197"/>
      <c r="I36" s="197"/>
      <c r="J36" s="197"/>
      <c r="K36" s="197"/>
      <c r="L36" s="197"/>
    </row>
    <row r="37" ht="13.5" hidden="1" thickBot="1"/>
    <row r="38" spans="2:18" ht="22.5" customHeight="1" hidden="1" thickBot="1">
      <c r="B38" s="5"/>
      <c r="C38" s="191" t="s">
        <v>23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</row>
    <row r="39" spans="3:18" ht="27.75" customHeight="1" hidden="1" thickBot="1">
      <c r="C39" s="194" t="s">
        <v>25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6"/>
    </row>
    <row r="40" spans="3:18" ht="24" customHeight="1" hidden="1" thickBot="1">
      <c r="C40" s="13"/>
      <c r="D40" s="179" t="s">
        <v>19</v>
      </c>
      <c r="E40" s="180"/>
      <c r="F40" s="180"/>
      <c r="G40" s="181"/>
      <c r="H40" s="182" t="s">
        <v>18</v>
      </c>
      <c r="I40" s="183"/>
      <c r="J40" s="183"/>
      <c r="K40" s="183"/>
      <c r="L40" s="183"/>
      <c r="M40" s="183"/>
      <c r="N40" s="183"/>
      <c r="O40" s="184"/>
      <c r="P40" s="185" t="s">
        <v>11</v>
      </c>
      <c r="Q40" s="186"/>
      <c r="R40" s="187"/>
    </row>
    <row r="41" spans="3:18" ht="13.5" customHeight="1" hidden="1">
      <c r="C41" s="175" t="s">
        <v>20</v>
      </c>
      <c r="D41" s="166" t="s">
        <v>1</v>
      </c>
      <c r="E41" s="166" t="s">
        <v>2</v>
      </c>
      <c r="F41" s="166" t="s">
        <v>3</v>
      </c>
      <c r="G41" s="166" t="s">
        <v>4</v>
      </c>
      <c r="H41" s="159" t="s">
        <v>8</v>
      </c>
      <c r="I41" s="157" t="s">
        <v>12</v>
      </c>
      <c r="J41" s="159" t="s">
        <v>13</v>
      </c>
      <c r="K41" s="159" t="s">
        <v>15</v>
      </c>
      <c r="L41" s="159" t="s">
        <v>14</v>
      </c>
      <c r="M41" s="159" t="s">
        <v>21</v>
      </c>
      <c r="N41" s="159" t="s">
        <v>17</v>
      </c>
      <c r="O41" s="159" t="s">
        <v>16</v>
      </c>
      <c r="P41" s="174" t="s">
        <v>9</v>
      </c>
      <c r="Q41" s="169" t="s">
        <v>7</v>
      </c>
      <c r="R41" s="169" t="s">
        <v>10</v>
      </c>
    </row>
    <row r="42" spans="3:18" ht="12.75" hidden="1">
      <c r="C42" s="167"/>
      <c r="D42" s="173"/>
      <c r="E42" s="167"/>
      <c r="F42" s="168"/>
      <c r="G42" s="168"/>
      <c r="H42" s="168"/>
      <c r="I42" s="158"/>
      <c r="J42" s="160"/>
      <c r="K42" s="161"/>
      <c r="L42" s="161"/>
      <c r="M42" s="172"/>
      <c r="N42" s="161"/>
      <c r="O42" s="173"/>
      <c r="P42" s="170"/>
      <c r="Q42" s="170"/>
      <c r="R42" s="171"/>
    </row>
    <row r="43" spans="3:18" ht="12.75" hidden="1">
      <c r="C43" s="167"/>
      <c r="D43" s="173"/>
      <c r="E43" s="167"/>
      <c r="F43" s="168"/>
      <c r="G43" s="168"/>
      <c r="H43" s="168"/>
      <c r="I43" s="158"/>
      <c r="J43" s="160"/>
      <c r="K43" s="161"/>
      <c r="L43" s="161"/>
      <c r="M43" s="172"/>
      <c r="N43" s="161"/>
      <c r="O43" s="173"/>
      <c r="P43" s="170"/>
      <c r="Q43" s="170"/>
      <c r="R43" s="171"/>
    </row>
    <row r="44" spans="3:31" ht="13.5" hidden="1" thickBot="1">
      <c r="C44" s="42">
        <v>37712</v>
      </c>
      <c r="D44" s="43">
        <v>1.0736</v>
      </c>
      <c r="E44" s="43">
        <v>0.803</v>
      </c>
      <c r="F44" s="43">
        <v>1.0997</v>
      </c>
      <c r="G44" s="43">
        <v>0.1582</v>
      </c>
      <c r="H44" s="44">
        <f aca="true" t="shared" si="37" ref="H44:H54">ROUND(M44+0.007,4)</f>
        <v>1.1573</v>
      </c>
      <c r="I44" s="44">
        <f>ROUND((D44-0.115)*1.2,4)</f>
        <v>1.1503</v>
      </c>
      <c r="J44" s="44">
        <f>ROUND(((F44-0.165)*1.383+(((F44-0.165)*1.572)-I44*0.9)*1.17),4)</f>
        <v>1.8006</v>
      </c>
      <c r="K44" s="44">
        <f>ROUND((G44-0.159)*1.03,4)</f>
        <v>-0.0008</v>
      </c>
      <c r="L44" s="45">
        <f aca="true" t="shared" si="38" ref="L44:L54">ROUND((J44*3.1+K44*5.9),2)</f>
        <v>5.58</v>
      </c>
      <c r="M44" s="44">
        <f>I44</f>
        <v>1.1503</v>
      </c>
      <c r="N44" s="44">
        <f>ROUND((E44-0.14)*0.99,4)</f>
        <v>0.6564</v>
      </c>
      <c r="O44" s="45">
        <f>ROUND(N44*9,2)</f>
        <v>5.91</v>
      </c>
      <c r="P44" s="45" t="e">
        <f>H44*3.5+0.965*#REF!</f>
        <v>#REF!</v>
      </c>
      <c r="Q44" s="45">
        <f aca="true" t="shared" si="39" ref="Q44:Q54">ROUND(L44*0.965+I44*3.5,2)</f>
        <v>9.41</v>
      </c>
      <c r="R44" s="46">
        <f aca="true" t="shared" si="40" ref="R44:R54">ROUND(O44*0.965+M44*3.5,2)</f>
        <v>9.73</v>
      </c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</row>
    <row r="45" spans="3:24" ht="13.5" hidden="1" thickBot="1">
      <c r="C45" s="42">
        <v>37742</v>
      </c>
      <c r="D45" s="43">
        <v>1.0743</v>
      </c>
      <c r="E45" s="43">
        <v>0.804</v>
      </c>
      <c r="F45" s="43">
        <v>1.1394</v>
      </c>
      <c r="G45" s="43">
        <v>0.145</v>
      </c>
      <c r="H45" s="44">
        <f t="shared" si="37"/>
        <v>1.1582</v>
      </c>
      <c r="I45" s="44">
        <f>ROUND((D45-0.115)*1.2,4)</f>
        <v>1.1512</v>
      </c>
      <c r="J45" s="44">
        <f>ROUND(((F45-0.165)*1.383+(((F45-0.165)*1.572)-I45*0.9)*1.17),4)</f>
        <v>1.9275</v>
      </c>
      <c r="K45" s="44">
        <f>ROUND((G45-0.159)*1.03,4)</f>
        <v>-0.0144</v>
      </c>
      <c r="L45" s="45">
        <f t="shared" si="38"/>
        <v>5.89</v>
      </c>
      <c r="M45" s="44">
        <f>I45</f>
        <v>1.1512</v>
      </c>
      <c r="N45" s="44">
        <f>ROUND((E45-0.14)*0.99,4)</f>
        <v>0.6574</v>
      </c>
      <c r="O45" s="45">
        <f aca="true" t="shared" si="41" ref="O45:O93">ROUND(N45*9,2)</f>
        <v>5.92</v>
      </c>
      <c r="P45" s="45" t="e">
        <f>H45*3.5+0.965*#REF!</f>
        <v>#REF!</v>
      </c>
      <c r="Q45" s="45">
        <f t="shared" si="39"/>
        <v>9.71</v>
      </c>
      <c r="R45" s="46">
        <f t="shared" si="40"/>
        <v>9.74</v>
      </c>
      <c r="S45" s="47"/>
      <c r="T45" s="47"/>
      <c r="U45" s="47"/>
      <c r="V45" s="47"/>
      <c r="W45" s="47"/>
      <c r="X45" s="47"/>
    </row>
    <row r="46" spans="3:18" ht="13.5" hidden="1" thickBot="1">
      <c r="C46" s="42">
        <v>37773</v>
      </c>
      <c r="D46" s="43">
        <v>1.0797</v>
      </c>
      <c r="E46" s="43">
        <v>0.804</v>
      </c>
      <c r="F46" s="43">
        <v>1.1464</v>
      </c>
      <c r="G46" s="43">
        <v>0.1396</v>
      </c>
      <c r="H46" s="44">
        <f t="shared" si="37"/>
        <v>1.1646</v>
      </c>
      <c r="I46" s="44">
        <f>ROUND((D46-0.115)*1.2,4)</f>
        <v>1.1576</v>
      </c>
      <c r="J46" s="44">
        <f>ROUND(((F46-0.165)*1.383+(((F46-0.165)*1.572)-I46*0.9)*1.17),4)</f>
        <v>1.9434</v>
      </c>
      <c r="K46" s="44">
        <f>ROUND((G46-0.159)*1.03,4)</f>
        <v>-0.02</v>
      </c>
      <c r="L46" s="45">
        <f t="shared" si="38"/>
        <v>5.91</v>
      </c>
      <c r="M46" s="44">
        <f>I46</f>
        <v>1.1576</v>
      </c>
      <c r="N46" s="44">
        <f>ROUND((E46-0.14)*0.99,4)</f>
        <v>0.6574</v>
      </c>
      <c r="O46" s="45">
        <f t="shared" si="41"/>
        <v>5.92</v>
      </c>
      <c r="P46" s="45" t="e">
        <f>H46*3.5+0.965*#REF!</f>
        <v>#REF!</v>
      </c>
      <c r="Q46" s="45">
        <f t="shared" si="39"/>
        <v>9.75</v>
      </c>
      <c r="R46" s="46">
        <f t="shared" si="40"/>
        <v>9.76</v>
      </c>
    </row>
    <row r="47" spans="3:18" ht="13.5" hidden="1" thickBot="1">
      <c r="C47" s="42">
        <v>37803</v>
      </c>
      <c r="D47" s="43">
        <v>1.1196</v>
      </c>
      <c r="E47" s="43">
        <v>0.8072</v>
      </c>
      <c r="F47" s="43">
        <v>1.3497</v>
      </c>
      <c r="G47" s="43">
        <v>0.147</v>
      </c>
      <c r="H47" s="44">
        <f t="shared" si="37"/>
        <v>1.2125</v>
      </c>
      <c r="I47" s="44">
        <f aca="true" t="shared" si="42" ref="I47:I52">ROUND((D47-0.115)*1.2,4)</f>
        <v>1.2055</v>
      </c>
      <c r="J47" s="44">
        <f aca="true" t="shared" si="43" ref="J47:J52">ROUND(((F47-0.165)*1.383+(((F47-0.165)*1.572)-I47*0.9)*1.17),4)</f>
        <v>2.548</v>
      </c>
      <c r="K47" s="44">
        <f aca="true" t="shared" si="44" ref="K47:K52">ROUND((G47-0.159)*1.03,4)</f>
        <v>-0.0124</v>
      </c>
      <c r="L47" s="45">
        <f t="shared" si="38"/>
        <v>7.83</v>
      </c>
      <c r="M47" s="44">
        <f aca="true" t="shared" si="45" ref="M47:M52">I47</f>
        <v>1.2055</v>
      </c>
      <c r="N47" s="44">
        <f aca="true" t="shared" si="46" ref="N47:N52">ROUND((E47-0.14)*0.99,4)</f>
        <v>0.6605</v>
      </c>
      <c r="O47" s="45">
        <f t="shared" si="41"/>
        <v>5.94</v>
      </c>
      <c r="P47" s="45" t="e">
        <f>H47*3.5+0.965*#REF!</f>
        <v>#REF!</v>
      </c>
      <c r="Q47" s="45">
        <f t="shared" si="39"/>
        <v>11.78</v>
      </c>
      <c r="R47" s="46">
        <f t="shared" si="40"/>
        <v>9.95</v>
      </c>
    </row>
    <row r="48" spans="3:18" ht="13.5" hidden="1" thickBot="1">
      <c r="C48" s="42">
        <v>37834</v>
      </c>
      <c r="D48" s="43">
        <v>1.1578</v>
      </c>
      <c r="E48" s="43">
        <v>0.8105</v>
      </c>
      <c r="F48" s="43">
        <v>1.5496</v>
      </c>
      <c r="G48" s="43">
        <v>0.1615</v>
      </c>
      <c r="H48" s="44">
        <f t="shared" si="37"/>
        <v>1.2584</v>
      </c>
      <c r="I48" s="44">
        <f t="shared" si="42"/>
        <v>1.2514</v>
      </c>
      <c r="J48" s="44">
        <f t="shared" si="43"/>
        <v>3.1438</v>
      </c>
      <c r="K48" s="44">
        <f t="shared" si="44"/>
        <v>0.0026</v>
      </c>
      <c r="L48" s="45">
        <f t="shared" si="38"/>
        <v>9.76</v>
      </c>
      <c r="M48" s="44">
        <f t="shared" si="45"/>
        <v>1.2514</v>
      </c>
      <c r="N48" s="44">
        <f t="shared" si="46"/>
        <v>0.6638</v>
      </c>
      <c r="O48" s="45">
        <f t="shared" si="41"/>
        <v>5.97</v>
      </c>
      <c r="P48" s="45" t="e">
        <f>H48*3.5+0.965*#REF!</f>
        <v>#REF!</v>
      </c>
      <c r="Q48" s="45">
        <f t="shared" si="39"/>
        <v>13.8</v>
      </c>
      <c r="R48" s="46">
        <f t="shared" si="40"/>
        <v>10.14</v>
      </c>
    </row>
    <row r="49" spans="3:18" ht="13.5" hidden="1" thickBot="1">
      <c r="C49" s="42">
        <v>37865</v>
      </c>
      <c r="D49" s="43">
        <v>1.1332</v>
      </c>
      <c r="E49" s="43">
        <v>0.8111</v>
      </c>
      <c r="F49" s="43">
        <v>1.594</v>
      </c>
      <c r="G49" s="43">
        <v>0.1755</v>
      </c>
      <c r="H49" s="44">
        <f t="shared" si="37"/>
        <v>1.2288</v>
      </c>
      <c r="I49" s="44">
        <f t="shared" si="42"/>
        <v>1.2218</v>
      </c>
      <c r="J49" s="44">
        <f t="shared" si="43"/>
        <v>3.318</v>
      </c>
      <c r="K49" s="44">
        <f t="shared" si="44"/>
        <v>0.017</v>
      </c>
      <c r="L49" s="45">
        <f t="shared" si="38"/>
        <v>10.39</v>
      </c>
      <c r="M49" s="44">
        <f t="shared" si="45"/>
        <v>1.2218</v>
      </c>
      <c r="N49" s="44">
        <f t="shared" si="46"/>
        <v>0.6644</v>
      </c>
      <c r="O49" s="45">
        <f t="shared" si="41"/>
        <v>5.98</v>
      </c>
      <c r="P49" s="45" t="e">
        <f>H49*3.5+0.965*#REF!</f>
        <v>#REF!</v>
      </c>
      <c r="Q49" s="45">
        <f t="shared" si="39"/>
        <v>14.3</v>
      </c>
      <c r="R49" s="46">
        <f t="shared" si="40"/>
        <v>10.05</v>
      </c>
    </row>
    <row r="50" spans="3:18" ht="13.5" hidden="1" thickBot="1">
      <c r="C50" s="42">
        <v>37895</v>
      </c>
      <c r="D50" s="43">
        <v>1.1611</v>
      </c>
      <c r="E50" s="43">
        <v>0.8109</v>
      </c>
      <c r="F50" s="43">
        <v>1.5936</v>
      </c>
      <c r="G50" s="43">
        <v>0.1892</v>
      </c>
      <c r="H50" s="44">
        <f t="shared" si="37"/>
        <v>1.2623</v>
      </c>
      <c r="I50" s="44">
        <f t="shared" si="42"/>
        <v>1.2553</v>
      </c>
      <c r="J50" s="44">
        <f t="shared" si="43"/>
        <v>3.2815</v>
      </c>
      <c r="K50" s="44">
        <f t="shared" si="44"/>
        <v>0.0311</v>
      </c>
      <c r="L50" s="45">
        <f t="shared" si="38"/>
        <v>10.36</v>
      </c>
      <c r="M50" s="44">
        <f t="shared" si="45"/>
        <v>1.2553</v>
      </c>
      <c r="N50" s="44">
        <f t="shared" si="46"/>
        <v>0.6642</v>
      </c>
      <c r="O50" s="45">
        <f t="shared" si="41"/>
        <v>5.98</v>
      </c>
      <c r="P50" s="45" t="e">
        <f>H50*3.5+0.965*#REF!</f>
        <v>#REF!</v>
      </c>
      <c r="Q50" s="45">
        <f t="shared" si="39"/>
        <v>14.39</v>
      </c>
      <c r="R50" s="46">
        <f t="shared" si="40"/>
        <v>10.16</v>
      </c>
    </row>
    <row r="51" spans="3:18" ht="13.5" hidden="1" thickBot="1">
      <c r="C51" s="42">
        <v>37926</v>
      </c>
      <c r="D51" s="43">
        <v>1.1881</v>
      </c>
      <c r="E51" s="43">
        <v>0.813</v>
      </c>
      <c r="F51" s="43">
        <v>1.4941</v>
      </c>
      <c r="G51" s="43">
        <v>0.1947</v>
      </c>
      <c r="H51" s="44">
        <f t="shared" si="37"/>
        <v>1.2947</v>
      </c>
      <c r="I51" s="44">
        <f t="shared" si="42"/>
        <v>1.2877</v>
      </c>
      <c r="J51" s="44">
        <f t="shared" si="43"/>
        <v>2.9267</v>
      </c>
      <c r="K51" s="44">
        <f t="shared" si="44"/>
        <v>0.0368</v>
      </c>
      <c r="L51" s="45">
        <f t="shared" si="38"/>
        <v>9.29</v>
      </c>
      <c r="M51" s="44">
        <f t="shared" si="45"/>
        <v>1.2877</v>
      </c>
      <c r="N51" s="44">
        <f t="shared" si="46"/>
        <v>0.6663</v>
      </c>
      <c r="O51" s="45">
        <f t="shared" si="41"/>
        <v>6</v>
      </c>
      <c r="P51" s="45" t="e">
        <f>H51*3.5+0.965*#REF!</f>
        <v>#REF!</v>
      </c>
      <c r="Q51" s="45">
        <f t="shared" si="39"/>
        <v>13.47</v>
      </c>
      <c r="R51" s="46">
        <f t="shared" si="40"/>
        <v>10.3</v>
      </c>
    </row>
    <row r="52" spans="3:18" ht="13.5" hidden="1" thickBot="1">
      <c r="C52" s="42">
        <v>37956</v>
      </c>
      <c r="D52" s="43">
        <v>1.2557</v>
      </c>
      <c r="E52" s="43">
        <v>0.807</v>
      </c>
      <c r="F52" s="43">
        <v>1.326</v>
      </c>
      <c r="G52" s="43">
        <v>0.1941</v>
      </c>
      <c r="H52" s="44">
        <f t="shared" si="37"/>
        <v>1.3758</v>
      </c>
      <c r="I52" s="44">
        <f t="shared" si="42"/>
        <v>1.3688</v>
      </c>
      <c r="J52" s="44">
        <f t="shared" si="43"/>
        <v>2.2997</v>
      </c>
      <c r="K52" s="44">
        <f t="shared" si="44"/>
        <v>0.0362</v>
      </c>
      <c r="L52" s="45">
        <f t="shared" si="38"/>
        <v>7.34</v>
      </c>
      <c r="M52" s="44">
        <f t="shared" si="45"/>
        <v>1.3688</v>
      </c>
      <c r="N52" s="44">
        <f t="shared" si="46"/>
        <v>0.6603</v>
      </c>
      <c r="O52" s="45">
        <f t="shared" si="41"/>
        <v>5.94</v>
      </c>
      <c r="P52" s="45" t="e">
        <f>H52*3.5+0.965*#REF!</f>
        <v>#REF!</v>
      </c>
      <c r="Q52" s="45">
        <f t="shared" si="39"/>
        <v>11.87</v>
      </c>
      <c r="R52" s="46">
        <f t="shared" si="40"/>
        <v>10.52</v>
      </c>
    </row>
    <row r="53" spans="3:18" ht="13.5" hidden="1" thickBot="1">
      <c r="C53" s="42">
        <v>37987</v>
      </c>
      <c r="D53" s="43">
        <v>1.3632</v>
      </c>
      <c r="E53" s="43">
        <v>0.8062</v>
      </c>
      <c r="F53" s="43">
        <v>1.3023</v>
      </c>
      <c r="G53" s="43">
        <v>0.1801</v>
      </c>
      <c r="H53" s="44">
        <f t="shared" si="37"/>
        <v>1.5048</v>
      </c>
      <c r="I53" s="44">
        <f aca="true" t="shared" si="47" ref="I53:I58">ROUND((D53-0.115)*1.2,4)</f>
        <v>1.4978</v>
      </c>
      <c r="J53" s="44">
        <f aca="true" t="shared" si="48" ref="J53:J58">ROUND(((F53-0.165)*1.383+(((F53-0.165)*1.572)-I53*0.9)*1.17),4)</f>
        <v>2.0875</v>
      </c>
      <c r="K53" s="44">
        <f aca="true" t="shared" si="49" ref="K53:K58">ROUND((G53-0.159)*1.03,4)</f>
        <v>0.0217</v>
      </c>
      <c r="L53" s="45">
        <f t="shared" si="38"/>
        <v>6.6</v>
      </c>
      <c r="M53" s="44">
        <f aca="true" t="shared" si="50" ref="M53:M58">I53</f>
        <v>1.4978</v>
      </c>
      <c r="N53" s="44">
        <f aca="true" t="shared" si="51" ref="N53:N58">ROUND((E53-0.14)*0.99,4)</f>
        <v>0.6595</v>
      </c>
      <c r="O53" s="45">
        <f t="shared" si="41"/>
        <v>5.94</v>
      </c>
      <c r="P53" s="45" t="e">
        <f>H53*3.5+0.965*#REF!</f>
        <v>#REF!</v>
      </c>
      <c r="Q53" s="45">
        <f t="shared" si="39"/>
        <v>11.61</v>
      </c>
      <c r="R53" s="46">
        <f t="shared" si="40"/>
        <v>10.97</v>
      </c>
    </row>
    <row r="54" spans="3:18" ht="13.5" hidden="1" thickBot="1">
      <c r="C54" s="42">
        <v>38018</v>
      </c>
      <c r="D54" s="43">
        <v>1.6582</v>
      </c>
      <c r="E54" s="43">
        <v>0.8064</v>
      </c>
      <c r="F54" s="43">
        <v>1.326</v>
      </c>
      <c r="G54" s="43">
        <v>0.1677</v>
      </c>
      <c r="H54" s="44">
        <f t="shared" si="37"/>
        <v>1.8588</v>
      </c>
      <c r="I54" s="44">
        <f t="shared" si="47"/>
        <v>1.8518</v>
      </c>
      <c r="J54" s="44">
        <f t="shared" si="48"/>
        <v>1.7911</v>
      </c>
      <c r="K54" s="44">
        <f t="shared" si="49"/>
        <v>0.009</v>
      </c>
      <c r="L54" s="45">
        <f t="shared" si="38"/>
        <v>5.61</v>
      </c>
      <c r="M54" s="44">
        <f t="shared" si="50"/>
        <v>1.8518</v>
      </c>
      <c r="N54" s="44">
        <f t="shared" si="51"/>
        <v>0.6597</v>
      </c>
      <c r="O54" s="45">
        <f t="shared" si="41"/>
        <v>5.94</v>
      </c>
      <c r="P54" s="45" t="e">
        <f>H54*3.5+0.965*#REF!</f>
        <v>#REF!</v>
      </c>
      <c r="Q54" s="45">
        <f t="shared" si="39"/>
        <v>11.89</v>
      </c>
      <c r="R54" s="46">
        <f t="shared" si="40"/>
        <v>12.21</v>
      </c>
    </row>
    <row r="55" spans="3:18" ht="13.5" hidden="1" thickBot="1">
      <c r="C55" s="42">
        <v>38047</v>
      </c>
      <c r="D55" s="43">
        <v>2.0994</v>
      </c>
      <c r="E55" s="43">
        <v>0.8101</v>
      </c>
      <c r="F55" s="43">
        <v>1.568</v>
      </c>
      <c r="G55" s="43">
        <v>0.1817</v>
      </c>
      <c r="H55" s="44">
        <f aca="true" t="shared" si="52" ref="H55:H60">ROUND(M55+0.007,4)</f>
        <v>2.3883</v>
      </c>
      <c r="I55" s="44">
        <f t="shared" si="47"/>
        <v>2.3813</v>
      </c>
      <c r="J55" s="44">
        <f t="shared" si="48"/>
        <v>2.0133</v>
      </c>
      <c r="K55" s="44">
        <f t="shared" si="49"/>
        <v>0.0234</v>
      </c>
      <c r="L55" s="45">
        <f aca="true" t="shared" si="53" ref="L55:L60">ROUND((J55*3.1+K55*5.9),2)</f>
        <v>6.38</v>
      </c>
      <c r="M55" s="44">
        <f t="shared" si="50"/>
        <v>2.3813</v>
      </c>
      <c r="N55" s="44">
        <f t="shared" si="51"/>
        <v>0.6634</v>
      </c>
      <c r="O55" s="45">
        <f t="shared" si="41"/>
        <v>5.97</v>
      </c>
      <c r="P55" s="45" t="e">
        <f>H55*3.5+0.965*#REF!</f>
        <v>#REF!</v>
      </c>
      <c r="Q55" s="45">
        <f aca="true" t="shared" si="54" ref="Q55:Q60">ROUND(L55*0.965+I55*3.5,2)</f>
        <v>14.49</v>
      </c>
      <c r="R55" s="46">
        <f aca="true" t="shared" si="55" ref="R55:R60">ROUND(O55*0.965+M55*3.5,2)</f>
        <v>14.1</v>
      </c>
    </row>
    <row r="56" spans="3:18" ht="13.5" hidden="1" thickBot="1">
      <c r="C56" s="42">
        <v>38078</v>
      </c>
      <c r="D56" s="43">
        <v>2.1994</v>
      </c>
      <c r="E56" s="43">
        <v>0.8171</v>
      </c>
      <c r="F56" s="43">
        <v>2.052</v>
      </c>
      <c r="G56" s="43">
        <v>0.2602</v>
      </c>
      <c r="H56" s="44">
        <f t="shared" si="52"/>
        <v>2.5083</v>
      </c>
      <c r="I56" s="44">
        <f t="shared" si="47"/>
        <v>2.5013</v>
      </c>
      <c r="J56" s="44">
        <f t="shared" si="48"/>
        <v>3.4465</v>
      </c>
      <c r="K56" s="44">
        <f t="shared" si="49"/>
        <v>0.1042</v>
      </c>
      <c r="L56" s="45">
        <f t="shared" si="53"/>
        <v>11.3</v>
      </c>
      <c r="M56" s="44">
        <f t="shared" si="50"/>
        <v>2.5013</v>
      </c>
      <c r="N56" s="44">
        <f t="shared" si="51"/>
        <v>0.6703</v>
      </c>
      <c r="O56" s="45">
        <f t="shared" si="41"/>
        <v>6.03</v>
      </c>
      <c r="P56" s="45" t="e">
        <f>H56*3.5+0.965*#REF!</f>
        <v>#REF!</v>
      </c>
      <c r="Q56" s="45">
        <f t="shared" si="54"/>
        <v>19.66</v>
      </c>
      <c r="R56" s="46">
        <f t="shared" si="55"/>
        <v>14.57</v>
      </c>
    </row>
    <row r="57" spans="3:18" ht="13.5" hidden="1" thickBot="1">
      <c r="C57" s="42">
        <v>38108</v>
      </c>
      <c r="D57" s="43">
        <v>2.1385</v>
      </c>
      <c r="E57" s="43">
        <v>0.8383</v>
      </c>
      <c r="F57" s="43">
        <v>2.1266</v>
      </c>
      <c r="G57" s="43">
        <v>0.2992</v>
      </c>
      <c r="H57" s="44">
        <f t="shared" si="52"/>
        <v>2.4352</v>
      </c>
      <c r="I57" s="44">
        <f t="shared" si="47"/>
        <v>2.4282</v>
      </c>
      <c r="J57" s="44">
        <f t="shared" si="48"/>
        <v>3.7639</v>
      </c>
      <c r="K57" s="44">
        <f t="shared" si="49"/>
        <v>0.1444</v>
      </c>
      <c r="L57" s="45">
        <f t="shared" si="53"/>
        <v>12.52</v>
      </c>
      <c r="M57" s="44">
        <f t="shared" si="50"/>
        <v>2.4282</v>
      </c>
      <c r="N57" s="44">
        <f t="shared" si="51"/>
        <v>0.6913</v>
      </c>
      <c r="O57" s="45">
        <f t="shared" si="41"/>
        <v>6.22</v>
      </c>
      <c r="P57" s="45" t="e">
        <f>H57*3.5+0.965*#REF!</f>
        <v>#REF!</v>
      </c>
      <c r="Q57" s="45">
        <f t="shared" si="54"/>
        <v>20.58</v>
      </c>
      <c r="R57" s="46">
        <f t="shared" si="55"/>
        <v>14.5</v>
      </c>
    </row>
    <row r="58" spans="3:18" ht="13.5" hidden="1" thickBot="1">
      <c r="C58" s="42">
        <v>38139</v>
      </c>
      <c r="D58" s="43">
        <v>1.929</v>
      </c>
      <c r="E58" s="43">
        <v>0.8497</v>
      </c>
      <c r="F58" s="43">
        <v>1.8411</v>
      </c>
      <c r="G58" s="43">
        <v>0.289</v>
      </c>
      <c r="H58" s="44">
        <f t="shared" si="52"/>
        <v>2.1838</v>
      </c>
      <c r="I58" s="44">
        <f t="shared" si="47"/>
        <v>2.1768</v>
      </c>
      <c r="J58" s="44">
        <f t="shared" si="48"/>
        <v>3.1086</v>
      </c>
      <c r="K58" s="44">
        <f t="shared" si="49"/>
        <v>0.1339</v>
      </c>
      <c r="L58" s="45">
        <f t="shared" si="53"/>
        <v>10.43</v>
      </c>
      <c r="M58" s="44">
        <f t="shared" si="50"/>
        <v>2.1768</v>
      </c>
      <c r="N58" s="44">
        <f t="shared" si="51"/>
        <v>0.7026</v>
      </c>
      <c r="O58" s="45">
        <f t="shared" si="41"/>
        <v>6.32</v>
      </c>
      <c r="P58" s="45" t="e">
        <f>H58*3.5+0.965*#REF!</f>
        <v>#REF!</v>
      </c>
      <c r="Q58" s="45">
        <f t="shared" si="54"/>
        <v>17.68</v>
      </c>
      <c r="R58" s="46">
        <f t="shared" si="55"/>
        <v>13.72</v>
      </c>
    </row>
    <row r="59" spans="3:18" ht="13.5" hidden="1" thickBot="1">
      <c r="C59" s="42">
        <v>38169</v>
      </c>
      <c r="D59" s="43">
        <v>1.8269</v>
      </c>
      <c r="E59" s="43">
        <v>0.8513</v>
      </c>
      <c r="F59" s="43">
        <v>1.5695</v>
      </c>
      <c r="G59" s="43">
        <v>0.2607</v>
      </c>
      <c r="H59" s="44">
        <f t="shared" si="52"/>
        <v>2.0613</v>
      </c>
      <c r="I59" s="44">
        <f aca="true" t="shared" si="56" ref="I59:I64">ROUND((D59-0.115)*1.2,4)</f>
        <v>2.0543</v>
      </c>
      <c r="J59" s="44">
        <f aca="true" t="shared" si="57" ref="J59:J64">ROUND(((F59-0.165)*1.383+(((F59-0.165)*1.572)-I59*0.9)*1.17),4)</f>
        <v>2.3625</v>
      </c>
      <c r="K59" s="44">
        <f aca="true" t="shared" si="58" ref="K59:K64">ROUND((G59-0.159)*1.03,4)</f>
        <v>0.1048</v>
      </c>
      <c r="L59" s="45">
        <f t="shared" si="53"/>
        <v>7.94</v>
      </c>
      <c r="M59" s="44">
        <f aca="true" t="shared" si="59" ref="M59:M64">I59</f>
        <v>2.0543</v>
      </c>
      <c r="N59" s="44">
        <f aca="true" t="shared" si="60" ref="N59:N64">ROUND((E59-0.14)*0.99,4)</f>
        <v>0.7042</v>
      </c>
      <c r="O59" s="45">
        <f t="shared" si="41"/>
        <v>6.34</v>
      </c>
      <c r="P59" s="45" t="e">
        <f>H59*3.5+0.965*#REF!</f>
        <v>#REF!</v>
      </c>
      <c r="Q59" s="45">
        <f t="shared" si="54"/>
        <v>14.85</v>
      </c>
      <c r="R59" s="46">
        <f t="shared" si="55"/>
        <v>13.31</v>
      </c>
    </row>
    <row r="60" spans="3:18" ht="13.5" hidden="1" thickBot="1">
      <c r="C60" s="42">
        <v>38200</v>
      </c>
      <c r="D60" s="43">
        <v>1.6101</v>
      </c>
      <c r="E60" s="43">
        <v>0.8584</v>
      </c>
      <c r="F60" s="43">
        <v>1.5167</v>
      </c>
      <c r="G60" s="43">
        <v>0.2246</v>
      </c>
      <c r="H60" s="44">
        <f t="shared" si="52"/>
        <v>1.8011</v>
      </c>
      <c r="I60" s="44">
        <f t="shared" si="56"/>
        <v>1.7941</v>
      </c>
      <c r="J60" s="44">
        <f t="shared" si="57"/>
        <v>2.4663</v>
      </c>
      <c r="K60" s="44">
        <f t="shared" si="58"/>
        <v>0.0676</v>
      </c>
      <c r="L60" s="45">
        <f t="shared" si="53"/>
        <v>8.04</v>
      </c>
      <c r="M60" s="44">
        <f t="shared" si="59"/>
        <v>1.7941</v>
      </c>
      <c r="N60" s="44">
        <f t="shared" si="60"/>
        <v>0.7112</v>
      </c>
      <c r="O60" s="45">
        <f t="shared" si="41"/>
        <v>6.4</v>
      </c>
      <c r="P60" s="45" t="e">
        <f>H60*3.5+0.965*#REF!</f>
        <v>#REF!</v>
      </c>
      <c r="Q60" s="45">
        <f t="shared" si="54"/>
        <v>14.04</v>
      </c>
      <c r="R60" s="46">
        <f t="shared" si="55"/>
        <v>12.46</v>
      </c>
    </row>
    <row r="61" spans="3:18" ht="13.5" hidden="1" thickBot="1">
      <c r="C61" s="42">
        <v>38231</v>
      </c>
      <c r="D61" s="43">
        <v>1.7278</v>
      </c>
      <c r="E61" s="43">
        <v>0.8639</v>
      </c>
      <c r="F61" s="43">
        <v>1.5867</v>
      </c>
      <c r="G61" s="43">
        <v>0.2162</v>
      </c>
      <c r="H61" s="44">
        <f aca="true" t="shared" si="61" ref="H61:H66">ROUND(M61+0.007,4)</f>
        <v>1.9424</v>
      </c>
      <c r="I61" s="44">
        <f t="shared" si="56"/>
        <v>1.9354</v>
      </c>
      <c r="J61" s="44">
        <f t="shared" si="57"/>
        <v>2.5431</v>
      </c>
      <c r="K61" s="44">
        <f t="shared" si="58"/>
        <v>0.0589</v>
      </c>
      <c r="L61" s="45">
        <f aca="true" t="shared" si="62" ref="L61:L66">ROUND((J61*3.1+K61*5.9),2)</f>
        <v>8.23</v>
      </c>
      <c r="M61" s="44">
        <f t="shared" si="59"/>
        <v>1.9354</v>
      </c>
      <c r="N61" s="44">
        <f t="shared" si="60"/>
        <v>0.7167</v>
      </c>
      <c r="O61" s="45">
        <f t="shared" si="41"/>
        <v>6.45</v>
      </c>
      <c r="P61" s="45" t="e">
        <f>H61*3.5+0.965*#REF!</f>
        <v>#REF!</v>
      </c>
      <c r="Q61" s="45">
        <f aca="true" t="shared" si="63" ref="Q61:Q66">ROUND(L61*0.965+I61*3.5,2)</f>
        <v>14.72</v>
      </c>
      <c r="R61" s="46">
        <f aca="true" t="shared" si="64" ref="R61:R66">ROUND(O61*0.965+M61*3.5,2)</f>
        <v>13</v>
      </c>
    </row>
    <row r="62" spans="3:18" ht="13.5" hidden="1" thickBot="1">
      <c r="C62" s="42">
        <v>38261</v>
      </c>
      <c r="D62" s="43">
        <v>1.7</v>
      </c>
      <c r="E62" s="43">
        <v>0.8565</v>
      </c>
      <c r="F62" s="43">
        <v>1.5256</v>
      </c>
      <c r="G62" s="43">
        <v>0.2247</v>
      </c>
      <c r="H62" s="44">
        <f t="shared" si="61"/>
        <v>1.909</v>
      </c>
      <c r="I62" s="44">
        <f t="shared" si="56"/>
        <v>1.902</v>
      </c>
      <c r="J62" s="44">
        <f t="shared" si="57"/>
        <v>2.3814</v>
      </c>
      <c r="K62" s="44">
        <f t="shared" si="58"/>
        <v>0.0677</v>
      </c>
      <c r="L62" s="45">
        <f t="shared" si="62"/>
        <v>7.78</v>
      </c>
      <c r="M62" s="44">
        <f t="shared" si="59"/>
        <v>1.902</v>
      </c>
      <c r="N62" s="44">
        <f t="shared" si="60"/>
        <v>0.7093</v>
      </c>
      <c r="O62" s="45">
        <f t="shared" si="41"/>
        <v>6.38</v>
      </c>
      <c r="P62" s="45" t="e">
        <f>H62*3.5+0.965*#REF!</f>
        <v>#REF!</v>
      </c>
      <c r="Q62" s="45">
        <f t="shared" si="63"/>
        <v>14.16</v>
      </c>
      <c r="R62" s="46">
        <f t="shared" si="64"/>
        <v>12.81</v>
      </c>
    </row>
    <row r="63" spans="3:18" ht="13.5" hidden="1" thickBot="1">
      <c r="C63" s="42">
        <v>38292</v>
      </c>
      <c r="D63" s="43">
        <v>1.8224</v>
      </c>
      <c r="E63" s="43">
        <v>0.857</v>
      </c>
      <c r="F63" s="43">
        <v>1.5886</v>
      </c>
      <c r="G63" s="43">
        <v>0.2367</v>
      </c>
      <c r="H63" s="44">
        <f t="shared" si="61"/>
        <v>2.0559</v>
      </c>
      <c r="I63" s="44">
        <f t="shared" si="56"/>
        <v>2.0489</v>
      </c>
      <c r="J63" s="44">
        <f t="shared" si="57"/>
        <v>2.4297</v>
      </c>
      <c r="K63" s="44">
        <f t="shared" si="58"/>
        <v>0.08</v>
      </c>
      <c r="L63" s="45">
        <f t="shared" si="62"/>
        <v>8</v>
      </c>
      <c r="M63" s="44">
        <f t="shared" si="59"/>
        <v>2.0489</v>
      </c>
      <c r="N63" s="44">
        <f t="shared" si="60"/>
        <v>0.7098</v>
      </c>
      <c r="O63" s="45">
        <f t="shared" si="41"/>
        <v>6.39</v>
      </c>
      <c r="P63" s="45" t="e">
        <f>H63*3.5+0.965*#REF!</f>
        <v>#REF!</v>
      </c>
      <c r="Q63" s="45">
        <f t="shared" si="63"/>
        <v>14.89</v>
      </c>
      <c r="R63" s="46">
        <f t="shared" si="64"/>
        <v>13.34</v>
      </c>
    </row>
    <row r="64" spans="3:18" ht="13.5" hidden="1" thickBot="1">
      <c r="C64" s="42">
        <v>38322</v>
      </c>
      <c r="D64" s="43">
        <v>1.8122</v>
      </c>
      <c r="E64" s="43">
        <v>0.8713</v>
      </c>
      <c r="F64" s="43">
        <v>1.7146</v>
      </c>
      <c r="G64" s="43">
        <v>0.2423</v>
      </c>
      <c r="H64" s="44">
        <f t="shared" si="61"/>
        <v>2.0436</v>
      </c>
      <c r="I64" s="44">
        <f t="shared" si="56"/>
        <v>2.0366</v>
      </c>
      <c r="J64" s="44">
        <f t="shared" si="57"/>
        <v>2.8486</v>
      </c>
      <c r="K64" s="44">
        <f t="shared" si="58"/>
        <v>0.0858</v>
      </c>
      <c r="L64" s="45">
        <f t="shared" si="62"/>
        <v>9.34</v>
      </c>
      <c r="M64" s="44">
        <f t="shared" si="59"/>
        <v>2.0366</v>
      </c>
      <c r="N64" s="44">
        <f t="shared" si="60"/>
        <v>0.724</v>
      </c>
      <c r="O64" s="45">
        <f t="shared" si="41"/>
        <v>6.52</v>
      </c>
      <c r="P64" s="45" t="e">
        <f>H64*3.5+0.965*#REF!</f>
        <v>#REF!</v>
      </c>
      <c r="Q64" s="45">
        <f t="shared" si="63"/>
        <v>16.14</v>
      </c>
      <c r="R64" s="46">
        <f t="shared" si="64"/>
        <v>13.42</v>
      </c>
    </row>
    <row r="65" spans="3:18" ht="13.5" hidden="1" thickBot="1">
      <c r="C65" s="42">
        <v>38353</v>
      </c>
      <c r="D65" s="43">
        <v>1.5592</v>
      </c>
      <c r="E65" s="43">
        <v>0.8906</v>
      </c>
      <c r="F65" s="43">
        <v>1.5165</v>
      </c>
      <c r="G65" s="43">
        <v>0.2463</v>
      </c>
      <c r="H65" s="44">
        <f t="shared" si="61"/>
        <v>1.74</v>
      </c>
      <c r="I65" s="44">
        <f aca="true" t="shared" si="65" ref="I65:I70">ROUND((D65-0.115)*1.2,4)</f>
        <v>1.733</v>
      </c>
      <c r="J65" s="44">
        <f aca="true" t="shared" si="66" ref="J65:J70">ROUND(((F65-0.165)*1.383+(((F65-0.165)*1.572)-I65*0.9)*1.17),4)</f>
        <v>2.53</v>
      </c>
      <c r="K65" s="44">
        <f aca="true" t="shared" si="67" ref="K65:K70">ROUND((G65-0.159)*1.03,4)</f>
        <v>0.0899</v>
      </c>
      <c r="L65" s="45">
        <f t="shared" si="62"/>
        <v>8.37</v>
      </c>
      <c r="M65" s="44">
        <f aca="true" t="shared" si="68" ref="M65:M70">I65</f>
        <v>1.733</v>
      </c>
      <c r="N65" s="44">
        <f aca="true" t="shared" si="69" ref="N65:N70">ROUND((E65-0.14)*0.99,4)</f>
        <v>0.7431</v>
      </c>
      <c r="O65" s="45">
        <f t="shared" si="41"/>
        <v>6.69</v>
      </c>
      <c r="P65" s="45" t="e">
        <f>H65*3.5+0.965*#REF!</f>
        <v>#REF!</v>
      </c>
      <c r="Q65" s="45">
        <f t="shared" si="63"/>
        <v>14.14</v>
      </c>
      <c r="R65" s="46">
        <f t="shared" si="64"/>
        <v>12.52</v>
      </c>
    </row>
    <row r="66" spans="3:18" ht="13.5" hidden="1" thickBot="1">
      <c r="C66" s="42">
        <v>38384</v>
      </c>
      <c r="D66" s="43">
        <v>1.5945</v>
      </c>
      <c r="E66" s="43">
        <v>0.899</v>
      </c>
      <c r="F66" s="43">
        <v>1.5711</v>
      </c>
      <c r="G66" s="43">
        <v>0.2478</v>
      </c>
      <c r="H66" s="44">
        <f t="shared" si="61"/>
        <v>1.7824</v>
      </c>
      <c r="I66" s="44">
        <f t="shared" si="65"/>
        <v>1.7754</v>
      </c>
      <c r="J66" s="44">
        <f t="shared" si="66"/>
        <v>2.6613</v>
      </c>
      <c r="K66" s="44">
        <f t="shared" si="67"/>
        <v>0.0915</v>
      </c>
      <c r="L66" s="45">
        <f t="shared" si="62"/>
        <v>8.79</v>
      </c>
      <c r="M66" s="44">
        <f t="shared" si="68"/>
        <v>1.7754</v>
      </c>
      <c r="N66" s="44">
        <f t="shared" si="69"/>
        <v>0.7514</v>
      </c>
      <c r="O66" s="45">
        <f t="shared" si="41"/>
        <v>6.76</v>
      </c>
      <c r="P66" s="45" t="e">
        <f>H66*3.5+0.965*#REF!</f>
        <v>#REF!</v>
      </c>
      <c r="Q66" s="45">
        <f t="shared" si="63"/>
        <v>14.7</v>
      </c>
      <c r="R66" s="46">
        <f t="shared" si="64"/>
        <v>12.74</v>
      </c>
    </row>
    <row r="67" spans="3:18" ht="13.5" hidden="1" thickBot="1">
      <c r="C67" s="42">
        <v>38412</v>
      </c>
      <c r="D67" s="43">
        <v>1.5549</v>
      </c>
      <c r="E67" s="43">
        <v>0.9083</v>
      </c>
      <c r="F67" s="43">
        <v>1.5061</v>
      </c>
      <c r="G67" s="43">
        <v>0.2513</v>
      </c>
      <c r="H67" s="44">
        <f aca="true" t="shared" si="70" ref="H67:H72">ROUND(M67+0.007,4)</f>
        <v>1.7349</v>
      </c>
      <c r="I67" s="44">
        <f t="shared" si="65"/>
        <v>1.7279</v>
      </c>
      <c r="J67" s="44">
        <f t="shared" si="66"/>
        <v>2.5019</v>
      </c>
      <c r="K67" s="44">
        <f t="shared" si="67"/>
        <v>0.0951</v>
      </c>
      <c r="L67" s="45">
        <f aca="true" t="shared" si="71" ref="L67:L72">ROUND((J67*3.1+K67*5.9),2)</f>
        <v>8.32</v>
      </c>
      <c r="M67" s="44">
        <f t="shared" si="68"/>
        <v>1.7279</v>
      </c>
      <c r="N67" s="44">
        <f t="shared" si="69"/>
        <v>0.7606</v>
      </c>
      <c r="O67" s="45">
        <f t="shared" si="41"/>
        <v>6.85</v>
      </c>
      <c r="P67" s="45" t="e">
        <f>H67*3.5+0.965*#REF!</f>
        <v>#REF!</v>
      </c>
      <c r="Q67" s="45">
        <f aca="true" t="shared" si="72" ref="Q67:Q72">ROUND(L67*0.965+I67*3.5,2)</f>
        <v>14.08</v>
      </c>
      <c r="R67" s="46">
        <f aca="true" t="shared" si="73" ref="R67:R72">ROUND(O67*0.965+M67*3.5,2)</f>
        <v>12.66</v>
      </c>
    </row>
    <row r="68" spans="3:18" ht="13.5" hidden="1" thickBot="1">
      <c r="C68" s="42">
        <v>38443</v>
      </c>
      <c r="D68" s="43">
        <v>1.5287</v>
      </c>
      <c r="E68" s="43">
        <v>0.9156</v>
      </c>
      <c r="F68" s="43">
        <v>1.559</v>
      </c>
      <c r="G68" s="43">
        <v>0.258</v>
      </c>
      <c r="H68" s="44">
        <f t="shared" si="70"/>
        <v>1.7034</v>
      </c>
      <c r="I68" s="44">
        <f t="shared" si="65"/>
        <v>1.6964</v>
      </c>
      <c r="J68" s="44">
        <f t="shared" si="66"/>
        <v>2.7055</v>
      </c>
      <c r="K68" s="44">
        <f t="shared" si="67"/>
        <v>0.102</v>
      </c>
      <c r="L68" s="45">
        <f t="shared" si="71"/>
        <v>8.99</v>
      </c>
      <c r="M68" s="44">
        <f t="shared" si="68"/>
        <v>1.6964</v>
      </c>
      <c r="N68" s="44">
        <f t="shared" si="69"/>
        <v>0.7678</v>
      </c>
      <c r="O68" s="45">
        <f t="shared" si="41"/>
        <v>6.91</v>
      </c>
      <c r="P68" s="45" t="e">
        <f>H68*3.5+0.965*#REF!</f>
        <v>#REF!</v>
      </c>
      <c r="Q68" s="45">
        <f t="shared" si="72"/>
        <v>14.61</v>
      </c>
      <c r="R68" s="46">
        <f t="shared" si="73"/>
        <v>12.61</v>
      </c>
    </row>
    <row r="69" spans="3:18" ht="13.5" hidden="1" thickBot="1">
      <c r="C69" s="42">
        <v>38473</v>
      </c>
      <c r="D69" s="43">
        <v>1.4046</v>
      </c>
      <c r="E69" s="43">
        <v>0.9289</v>
      </c>
      <c r="F69" s="43">
        <v>1.4765</v>
      </c>
      <c r="G69" s="43">
        <v>0.2603</v>
      </c>
      <c r="H69" s="44">
        <f t="shared" si="70"/>
        <v>1.5545</v>
      </c>
      <c r="I69" s="44">
        <f t="shared" si="65"/>
        <v>1.5475</v>
      </c>
      <c r="J69" s="44">
        <f t="shared" si="66"/>
        <v>2.5965</v>
      </c>
      <c r="K69" s="44">
        <f t="shared" si="67"/>
        <v>0.1043</v>
      </c>
      <c r="L69" s="45">
        <f t="shared" si="71"/>
        <v>8.66</v>
      </c>
      <c r="M69" s="44">
        <f t="shared" si="68"/>
        <v>1.5475</v>
      </c>
      <c r="N69" s="44">
        <f t="shared" si="69"/>
        <v>0.781</v>
      </c>
      <c r="O69" s="45">
        <f t="shared" si="41"/>
        <v>7.03</v>
      </c>
      <c r="P69" s="45" t="e">
        <f>H69*3.5+0.965*#REF!</f>
        <v>#REF!</v>
      </c>
      <c r="Q69" s="45">
        <f t="shared" si="72"/>
        <v>13.77</v>
      </c>
      <c r="R69" s="46">
        <f t="shared" si="73"/>
        <v>12.2</v>
      </c>
    </row>
    <row r="70" spans="3:18" ht="13.5" hidden="1" thickBot="1">
      <c r="C70" s="42">
        <v>38504</v>
      </c>
      <c r="D70" s="43">
        <v>1.4427</v>
      </c>
      <c r="E70" s="43">
        <v>0.9259</v>
      </c>
      <c r="F70" s="43">
        <v>1.4845</v>
      </c>
      <c r="G70" s="43">
        <v>0.2696</v>
      </c>
      <c r="H70" s="44">
        <f t="shared" si="70"/>
        <v>1.6002</v>
      </c>
      <c r="I70" s="44">
        <f t="shared" si="65"/>
        <v>1.5932</v>
      </c>
      <c r="J70" s="44">
        <f t="shared" si="66"/>
        <v>2.5741</v>
      </c>
      <c r="K70" s="44">
        <f t="shared" si="67"/>
        <v>0.1139</v>
      </c>
      <c r="L70" s="45">
        <f t="shared" si="71"/>
        <v>8.65</v>
      </c>
      <c r="M70" s="44">
        <f t="shared" si="68"/>
        <v>1.5932</v>
      </c>
      <c r="N70" s="44">
        <f t="shared" si="69"/>
        <v>0.778</v>
      </c>
      <c r="O70" s="45">
        <f t="shared" si="41"/>
        <v>7</v>
      </c>
      <c r="P70" s="45" t="e">
        <f>H70*3.5+0.965*#REF!</f>
        <v>#REF!</v>
      </c>
      <c r="Q70" s="45">
        <f t="shared" si="72"/>
        <v>13.92</v>
      </c>
      <c r="R70" s="46">
        <f t="shared" si="73"/>
        <v>12.33</v>
      </c>
    </row>
    <row r="71" spans="3:18" ht="13.5" hidden="1" thickBot="1">
      <c r="C71" s="42">
        <v>38534</v>
      </c>
      <c r="D71" s="43">
        <v>1.6156</v>
      </c>
      <c r="E71" s="43">
        <v>0.9389</v>
      </c>
      <c r="F71" s="43">
        <v>1.5156</v>
      </c>
      <c r="G71" s="43">
        <v>0.2794</v>
      </c>
      <c r="H71" s="44">
        <f t="shared" si="70"/>
        <v>1.8077</v>
      </c>
      <c r="I71" s="44">
        <f aca="true" t="shared" si="74" ref="I71:I76">ROUND((D71-0.115)*1.2,4)</f>
        <v>1.8007</v>
      </c>
      <c r="J71" s="44">
        <f aca="true" t="shared" si="75" ref="J71:J76">ROUND(((F71-0.165)*1.383+(((F71-0.165)*1.572)-I71*0.9)*1.17),4)</f>
        <v>2.4558</v>
      </c>
      <c r="K71" s="44">
        <f aca="true" t="shared" si="76" ref="K71:K76">ROUND((G71-0.159)*1.03,4)</f>
        <v>0.124</v>
      </c>
      <c r="L71" s="45">
        <f t="shared" si="71"/>
        <v>8.34</v>
      </c>
      <c r="M71" s="44">
        <f aca="true" t="shared" si="77" ref="M71:M76">I71</f>
        <v>1.8007</v>
      </c>
      <c r="N71" s="44">
        <f aca="true" t="shared" si="78" ref="N71:N76">ROUND((E71-0.14)*0.99,4)</f>
        <v>0.7909</v>
      </c>
      <c r="O71" s="45">
        <f t="shared" si="41"/>
        <v>7.12</v>
      </c>
      <c r="P71" s="45" t="e">
        <f>H71*3.5+0.965*#REF!</f>
        <v>#REF!</v>
      </c>
      <c r="Q71" s="45">
        <f t="shared" si="72"/>
        <v>14.35</v>
      </c>
      <c r="R71" s="46">
        <f t="shared" si="73"/>
        <v>13.17</v>
      </c>
    </row>
    <row r="72" spans="3:18" ht="13.5" hidden="1" thickBot="1">
      <c r="C72" s="42">
        <v>38565</v>
      </c>
      <c r="D72" s="43">
        <v>1.6355</v>
      </c>
      <c r="E72" s="43">
        <v>0.9601</v>
      </c>
      <c r="F72" s="43">
        <v>1.4322</v>
      </c>
      <c r="G72" s="43">
        <v>0.2869</v>
      </c>
      <c r="H72" s="44">
        <f t="shared" si="70"/>
        <v>1.8316</v>
      </c>
      <c r="I72" s="44">
        <f t="shared" si="74"/>
        <v>1.8246</v>
      </c>
      <c r="J72" s="44">
        <f t="shared" si="75"/>
        <v>2.1619</v>
      </c>
      <c r="K72" s="44">
        <f t="shared" si="76"/>
        <v>0.1317</v>
      </c>
      <c r="L72" s="45">
        <f t="shared" si="71"/>
        <v>7.48</v>
      </c>
      <c r="M72" s="44">
        <f t="shared" si="77"/>
        <v>1.8246</v>
      </c>
      <c r="N72" s="44">
        <f t="shared" si="78"/>
        <v>0.8119</v>
      </c>
      <c r="O72" s="45">
        <f t="shared" si="41"/>
        <v>7.31</v>
      </c>
      <c r="P72" s="45" t="e">
        <f>H72*3.5+0.965*#REF!</f>
        <v>#REF!</v>
      </c>
      <c r="Q72" s="45">
        <f t="shared" si="72"/>
        <v>13.6</v>
      </c>
      <c r="R72" s="46">
        <f t="shared" si="73"/>
        <v>13.44</v>
      </c>
    </row>
    <row r="73" spans="3:18" ht="13.5" hidden="1" thickBot="1">
      <c r="C73" s="42">
        <v>38596</v>
      </c>
      <c r="D73" s="43">
        <v>1.6877</v>
      </c>
      <c r="E73" s="43">
        <v>0.9705</v>
      </c>
      <c r="F73" s="43">
        <v>1.4958</v>
      </c>
      <c r="G73" s="43">
        <v>0.296</v>
      </c>
      <c r="H73" s="44">
        <f aca="true" t="shared" si="79" ref="H73:H78">ROUND(M73+0.007,4)</f>
        <v>1.8942</v>
      </c>
      <c r="I73" s="44">
        <f t="shared" si="74"/>
        <v>1.8872</v>
      </c>
      <c r="J73" s="44">
        <f t="shared" si="75"/>
        <v>2.3009</v>
      </c>
      <c r="K73" s="44">
        <f t="shared" si="76"/>
        <v>0.1411</v>
      </c>
      <c r="L73" s="45">
        <f aca="true" t="shared" si="80" ref="L73:L78">ROUND((J73*3.1+K73*5.9),2)</f>
        <v>7.97</v>
      </c>
      <c r="M73" s="44">
        <f t="shared" si="77"/>
        <v>1.8872</v>
      </c>
      <c r="N73" s="44">
        <f t="shared" si="78"/>
        <v>0.8222</v>
      </c>
      <c r="O73" s="45">
        <f t="shared" si="41"/>
        <v>7.4</v>
      </c>
      <c r="P73" s="45" t="e">
        <f>H73*3.5+0.965*#REF!</f>
        <v>#REF!</v>
      </c>
      <c r="Q73" s="45">
        <f aca="true" t="shared" si="81" ref="Q73:Q78">ROUND(L73*0.965+I73*3.5,2)</f>
        <v>14.3</v>
      </c>
      <c r="R73" s="46">
        <f aca="true" t="shared" si="82" ref="R73:R78">ROUND(O73*0.965+M73*3.5,2)</f>
        <v>13.75</v>
      </c>
    </row>
    <row r="74" spans="3:18" ht="13.5" hidden="1" thickBot="1">
      <c r="C74" s="42">
        <v>38626</v>
      </c>
      <c r="D74" s="43">
        <v>1.6363</v>
      </c>
      <c r="E74" s="43">
        <v>0.9794</v>
      </c>
      <c r="F74" s="43">
        <v>1.4996</v>
      </c>
      <c r="G74" s="43">
        <v>0.3038</v>
      </c>
      <c r="H74" s="44">
        <f t="shared" si="79"/>
        <v>1.8326</v>
      </c>
      <c r="I74" s="44">
        <f t="shared" si="74"/>
        <v>1.8256</v>
      </c>
      <c r="J74" s="44">
        <f t="shared" si="75"/>
        <v>2.378</v>
      </c>
      <c r="K74" s="44">
        <f t="shared" si="76"/>
        <v>0.1491</v>
      </c>
      <c r="L74" s="45">
        <f t="shared" si="80"/>
        <v>8.25</v>
      </c>
      <c r="M74" s="44">
        <f t="shared" si="77"/>
        <v>1.8256</v>
      </c>
      <c r="N74" s="44">
        <f t="shared" si="78"/>
        <v>0.831</v>
      </c>
      <c r="O74" s="45">
        <f t="shared" si="41"/>
        <v>7.48</v>
      </c>
      <c r="P74" s="45" t="e">
        <f>H74*3.5+0.965*#REF!</f>
        <v>#REF!</v>
      </c>
      <c r="Q74" s="45">
        <f t="shared" si="81"/>
        <v>14.35</v>
      </c>
      <c r="R74" s="46">
        <f t="shared" si="82"/>
        <v>13.61</v>
      </c>
    </row>
    <row r="75" spans="3:18" ht="13.5" hidden="1" thickBot="1">
      <c r="C75" s="42">
        <v>38657</v>
      </c>
      <c r="D75" s="43">
        <v>1.4578</v>
      </c>
      <c r="E75" s="43">
        <v>0.9835</v>
      </c>
      <c r="F75" s="43">
        <v>1.3968</v>
      </c>
      <c r="G75" s="43">
        <v>0.3149</v>
      </c>
      <c r="H75" s="44">
        <f t="shared" si="79"/>
        <v>1.6184</v>
      </c>
      <c r="I75" s="44">
        <f t="shared" si="74"/>
        <v>1.6114</v>
      </c>
      <c r="J75" s="44">
        <f t="shared" si="75"/>
        <v>2.2724</v>
      </c>
      <c r="K75" s="44">
        <f t="shared" si="76"/>
        <v>0.1606</v>
      </c>
      <c r="L75" s="45">
        <f t="shared" si="80"/>
        <v>7.99</v>
      </c>
      <c r="M75" s="44">
        <f t="shared" si="77"/>
        <v>1.6114</v>
      </c>
      <c r="N75" s="44">
        <f t="shared" si="78"/>
        <v>0.8351</v>
      </c>
      <c r="O75" s="45">
        <f t="shared" si="41"/>
        <v>7.52</v>
      </c>
      <c r="P75" s="45" t="e">
        <f>H75*3.5+0.965*#REF!</f>
        <v>#REF!</v>
      </c>
      <c r="Q75" s="45">
        <f t="shared" si="81"/>
        <v>13.35</v>
      </c>
      <c r="R75" s="46">
        <f t="shared" si="82"/>
        <v>12.9</v>
      </c>
    </row>
    <row r="76" spans="3:18" ht="13.5" hidden="1" thickBot="1">
      <c r="C76" s="42">
        <v>38687</v>
      </c>
      <c r="D76" s="43">
        <v>1.368</v>
      </c>
      <c r="E76" s="43">
        <v>0.9899</v>
      </c>
      <c r="F76" s="43">
        <v>1.3964</v>
      </c>
      <c r="G76" s="43">
        <v>0.3242</v>
      </c>
      <c r="H76" s="44">
        <f t="shared" si="79"/>
        <v>1.5106</v>
      </c>
      <c r="I76" s="44">
        <f t="shared" si="74"/>
        <v>1.5036</v>
      </c>
      <c r="J76" s="44">
        <f t="shared" si="75"/>
        <v>2.3846</v>
      </c>
      <c r="K76" s="44">
        <f t="shared" si="76"/>
        <v>0.1702</v>
      </c>
      <c r="L76" s="45">
        <f t="shared" si="80"/>
        <v>8.4</v>
      </c>
      <c r="M76" s="44">
        <f t="shared" si="77"/>
        <v>1.5036</v>
      </c>
      <c r="N76" s="44">
        <f t="shared" si="78"/>
        <v>0.8414</v>
      </c>
      <c r="O76" s="45">
        <f t="shared" si="41"/>
        <v>7.57</v>
      </c>
      <c r="P76" s="45" t="e">
        <f>H76*3.5+0.965*#REF!</f>
        <v>#REF!</v>
      </c>
      <c r="Q76" s="45">
        <f t="shared" si="81"/>
        <v>13.37</v>
      </c>
      <c r="R76" s="46">
        <f t="shared" si="82"/>
        <v>12.57</v>
      </c>
    </row>
    <row r="77" spans="3:18" ht="13.5" hidden="1" thickBot="1">
      <c r="C77" s="42">
        <v>38718</v>
      </c>
      <c r="D77" s="43">
        <v>1.3387</v>
      </c>
      <c r="E77" s="43">
        <v>0.9614</v>
      </c>
      <c r="F77" s="43">
        <v>1.3895</v>
      </c>
      <c r="G77" s="43">
        <v>0.3416</v>
      </c>
      <c r="H77" s="44">
        <f t="shared" si="79"/>
        <v>1.4754</v>
      </c>
      <c r="I77" s="44">
        <f aca="true" t="shared" si="83" ref="I77:I82">ROUND((D77-0.115)*1.2,4)</f>
        <v>1.4684</v>
      </c>
      <c r="J77" s="44">
        <f aca="true" t="shared" si="84" ref="J77:J82">ROUND(((F77-0.165)*1.383+(((F77-0.165)*1.572)-I77*0.9)*1.17),4)</f>
        <v>2.3994</v>
      </c>
      <c r="K77" s="44">
        <f aca="true" t="shared" si="85" ref="K77:K82">ROUND((G77-0.159)*1.03,4)</f>
        <v>0.1881</v>
      </c>
      <c r="L77" s="45">
        <f t="shared" si="80"/>
        <v>8.55</v>
      </c>
      <c r="M77" s="44">
        <f aca="true" t="shared" si="86" ref="M77:M82">I77</f>
        <v>1.4684</v>
      </c>
      <c r="N77" s="44">
        <f aca="true" t="shared" si="87" ref="N77:N82">ROUND((E77-0.14)*0.99,4)</f>
        <v>0.8132</v>
      </c>
      <c r="O77" s="45">
        <f t="shared" si="41"/>
        <v>7.32</v>
      </c>
      <c r="P77" s="45" t="e">
        <f>H77*3.5+0.965*#REF!</f>
        <v>#REF!</v>
      </c>
      <c r="Q77" s="45">
        <f t="shared" si="81"/>
        <v>13.39</v>
      </c>
      <c r="R77" s="46">
        <f t="shared" si="82"/>
        <v>12.2</v>
      </c>
    </row>
    <row r="78" spans="3:18" ht="13.5" hidden="1" thickBot="1">
      <c r="C78" s="42">
        <v>38749</v>
      </c>
      <c r="D78" s="43">
        <v>1.2374</v>
      </c>
      <c r="E78" s="43">
        <v>0.8833</v>
      </c>
      <c r="F78" s="43">
        <v>1.2637</v>
      </c>
      <c r="G78" s="43">
        <v>0.3531</v>
      </c>
      <c r="H78" s="44">
        <f t="shared" si="79"/>
        <v>1.3539</v>
      </c>
      <c r="I78" s="44">
        <f t="shared" si="83"/>
        <v>1.3469</v>
      </c>
      <c r="J78" s="44">
        <f t="shared" si="84"/>
        <v>2.122</v>
      </c>
      <c r="K78" s="44">
        <f t="shared" si="85"/>
        <v>0.1999</v>
      </c>
      <c r="L78" s="45">
        <f t="shared" si="80"/>
        <v>7.76</v>
      </c>
      <c r="M78" s="44">
        <f t="shared" si="86"/>
        <v>1.3469</v>
      </c>
      <c r="N78" s="44">
        <f t="shared" si="87"/>
        <v>0.7359</v>
      </c>
      <c r="O78" s="45">
        <f t="shared" si="41"/>
        <v>6.62</v>
      </c>
      <c r="P78" s="45" t="e">
        <f>H78*3.5+0.965*#REF!</f>
        <v>#REF!</v>
      </c>
      <c r="Q78" s="45">
        <f t="shared" si="81"/>
        <v>12.2</v>
      </c>
      <c r="R78" s="46">
        <f t="shared" si="82"/>
        <v>11.1</v>
      </c>
    </row>
    <row r="79" spans="3:18" ht="13.5" hidden="1" thickBot="1">
      <c r="C79" s="42">
        <v>38777</v>
      </c>
      <c r="D79" s="43">
        <v>1.1647</v>
      </c>
      <c r="E79" s="43">
        <v>0.8697</v>
      </c>
      <c r="F79" s="43">
        <v>1.1612</v>
      </c>
      <c r="G79" s="43">
        <v>0.3409</v>
      </c>
      <c r="H79" s="44">
        <f aca="true" t="shared" si="88" ref="H79:H84">ROUND(M79+0.007,4)</f>
        <v>1.2666</v>
      </c>
      <c r="I79" s="44">
        <f t="shared" si="83"/>
        <v>1.2596</v>
      </c>
      <c r="J79" s="44">
        <f t="shared" si="84"/>
        <v>1.8836</v>
      </c>
      <c r="K79" s="44">
        <f t="shared" si="85"/>
        <v>0.1874</v>
      </c>
      <c r="L79" s="45">
        <f aca="true" t="shared" si="89" ref="L79:L84">ROUND((J79*3.1+K79*5.9),2)</f>
        <v>6.94</v>
      </c>
      <c r="M79" s="44">
        <f t="shared" si="86"/>
        <v>1.2596</v>
      </c>
      <c r="N79" s="44">
        <f t="shared" si="87"/>
        <v>0.7224</v>
      </c>
      <c r="O79" s="45">
        <f t="shared" si="41"/>
        <v>6.5</v>
      </c>
      <c r="P79" s="45" t="e">
        <f>H79*3.5+0.965*#REF!</f>
        <v>#REF!</v>
      </c>
      <c r="Q79" s="45">
        <f aca="true" t="shared" si="90" ref="Q79:Q84">ROUND(L79*0.965+I79*3.5,2)</f>
        <v>11.11</v>
      </c>
      <c r="R79" s="46">
        <f aca="true" t="shared" si="91" ref="R79:R84">ROUND(O79*0.965+M79*3.5,2)</f>
        <v>10.68</v>
      </c>
    </row>
    <row r="80" spans="3:18" ht="13.5" hidden="1" thickBot="1">
      <c r="C80" s="42">
        <v>38808</v>
      </c>
      <c r="D80" s="43">
        <v>1.1436</v>
      </c>
      <c r="E80" s="43">
        <v>0.8429</v>
      </c>
      <c r="F80" s="43">
        <v>1.1654</v>
      </c>
      <c r="G80" s="43">
        <v>0.3054</v>
      </c>
      <c r="H80" s="44">
        <f t="shared" si="88"/>
        <v>1.2413</v>
      </c>
      <c r="I80" s="44">
        <f t="shared" si="83"/>
        <v>1.2343</v>
      </c>
      <c r="J80" s="44">
        <f t="shared" si="84"/>
        <v>1.9238</v>
      </c>
      <c r="K80" s="44">
        <f t="shared" si="85"/>
        <v>0.1508</v>
      </c>
      <c r="L80" s="45">
        <f t="shared" si="89"/>
        <v>6.85</v>
      </c>
      <c r="M80" s="44">
        <f t="shared" si="86"/>
        <v>1.2343</v>
      </c>
      <c r="N80" s="44">
        <f t="shared" si="87"/>
        <v>0.6959</v>
      </c>
      <c r="O80" s="45">
        <f t="shared" si="41"/>
        <v>6.26</v>
      </c>
      <c r="P80" s="45" t="e">
        <f>H80*3.5+0.965*#REF!</f>
        <v>#REF!</v>
      </c>
      <c r="Q80" s="45">
        <f t="shared" si="90"/>
        <v>10.93</v>
      </c>
      <c r="R80" s="46">
        <f t="shared" si="91"/>
        <v>10.36</v>
      </c>
    </row>
    <row r="81" spans="3:18" ht="13.5" hidden="1" thickBot="1">
      <c r="C81" s="42">
        <v>38838</v>
      </c>
      <c r="D81" s="43">
        <v>1.1635</v>
      </c>
      <c r="E81" s="43">
        <v>0.8288</v>
      </c>
      <c r="F81" s="43">
        <v>1.1694</v>
      </c>
      <c r="G81" s="43">
        <v>0.2805</v>
      </c>
      <c r="H81" s="44">
        <f t="shared" si="88"/>
        <v>1.2652</v>
      </c>
      <c r="I81" s="44">
        <f t="shared" si="83"/>
        <v>1.2582</v>
      </c>
      <c r="J81" s="44">
        <f t="shared" si="84"/>
        <v>1.9115</v>
      </c>
      <c r="K81" s="44">
        <f t="shared" si="85"/>
        <v>0.1251</v>
      </c>
      <c r="L81" s="45">
        <f t="shared" si="89"/>
        <v>6.66</v>
      </c>
      <c r="M81" s="44">
        <f t="shared" si="86"/>
        <v>1.2582</v>
      </c>
      <c r="N81" s="44">
        <f t="shared" si="87"/>
        <v>0.6819</v>
      </c>
      <c r="O81" s="45">
        <f t="shared" si="41"/>
        <v>6.14</v>
      </c>
      <c r="P81" s="45" t="e">
        <f>H81*3.5+0.965*#REF!</f>
        <v>#REF!</v>
      </c>
      <c r="Q81" s="45">
        <f t="shared" si="90"/>
        <v>10.83</v>
      </c>
      <c r="R81" s="46">
        <f t="shared" si="91"/>
        <v>10.33</v>
      </c>
    </row>
    <row r="82" spans="3:18" ht="13.5" hidden="1" thickBot="1">
      <c r="C82" s="42">
        <v>38869</v>
      </c>
      <c r="D82" s="43">
        <v>1.1513</v>
      </c>
      <c r="E82" s="43">
        <v>0.8221</v>
      </c>
      <c r="F82" s="43">
        <v>1.2166</v>
      </c>
      <c r="G82" s="43">
        <v>0.2808</v>
      </c>
      <c r="H82" s="44">
        <f t="shared" si="88"/>
        <v>1.2506</v>
      </c>
      <c r="I82" s="44">
        <f t="shared" si="83"/>
        <v>1.2436</v>
      </c>
      <c r="J82" s="44">
        <f t="shared" si="84"/>
        <v>2.079</v>
      </c>
      <c r="K82" s="44">
        <f t="shared" si="85"/>
        <v>0.1255</v>
      </c>
      <c r="L82" s="45">
        <f t="shared" si="89"/>
        <v>7.19</v>
      </c>
      <c r="M82" s="44">
        <f t="shared" si="86"/>
        <v>1.2436</v>
      </c>
      <c r="N82" s="44">
        <f t="shared" si="87"/>
        <v>0.6753</v>
      </c>
      <c r="O82" s="45">
        <f t="shared" si="41"/>
        <v>6.08</v>
      </c>
      <c r="P82" s="45" t="e">
        <f>H82*3.5+0.965*#REF!</f>
        <v>#REF!</v>
      </c>
      <c r="Q82" s="45">
        <f t="shared" si="90"/>
        <v>11.29</v>
      </c>
      <c r="R82" s="46">
        <f t="shared" si="91"/>
        <v>10.22</v>
      </c>
    </row>
    <row r="83" spans="3:18" ht="13.5" hidden="1" thickBot="1">
      <c r="C83" s="42">
        <v>38899</v>
      </c>
      <c r="D83" s="43">
        <v>1.134</v>
      </c>
      <c r="E83" s="43">
        <v>0.83</v>
      </c>
      <c r="F83" s="43">
        <v>1.1793</v>
      </c>
      <c r="G83" s="43">
        <v>0.281</v>
      </c>
      <c r="H83" s="44">
        <f t="shared" si="88"/>
        <v>1.2298</v>
      </c>
      <c r="I83" s="44">
        <f aca="true" t="shared" si="92" ref="I83:I88">ROUND((D83-0.115)*1.2,4)</f>
        <v>1.2228</v>
      </c>
      <c r="J83" s="44">
        <f aca="true" t="shared" si="93" ref="J83:J88">ROUND(((F83-0.165)*1.383+(((F83-0.165)*1.572)-I83*0.9)*1.17),4)</f>
        <v>1.9807</v>
      </c>
      <c r="K83" s="44">
        <f aca="true" t="shared" si="94" ref="K83:K88">ROUND((G83-0.159)*1.03,4)</f>
        <v>0.1257</v>
      </c>
      <c r="L83" s="45">
        <f t="shared" si="89"/>
        <v>6.88</v>
      </c>
      <c r="M83" s="44">
        <f aca="true" t="shared" si="95" ref="M83:M88">I83</f>
        <v>1.2228</v>
      </c>
      <c r="N83" s="44">
        <f aca="true" t="shared" si="96" ref="N83:N88">ROUND((E83-0.14)*0.99,4)</f>
        <v>0.6831</v>
      </c>
      <c r="O83" s="45">
        <f t="shared" si="41"/>
        <v>6.15</v>
      </c>
      <c r="P83" s="45" t="e">
        <f>H83*3.5+0.965*#REF!</f>
        <v>#REF!</v>
      </c>
      <c r="Q83" s="45">
        <f t="shared" si="90"/>
        <v>10.92</v>
      </c>
      <c r="R83" s="46">
        <f t="shared" si="91"/>
        <v>10.21</v>
      </c>
    </row>
    <row r="84" spans="3:18" ht="13.5" hidden="1" thickBot="1">
      <c r="C84" s="42">
        <v>38930</v>
      </c>
      <c r="D84" s="43">
        <v>1.199</v>
      </c>
      <c r="E84" s="43">
        <v>0.8484</v>
      </c>
      <c r="F84" s="43">
        <v>1.1813</v>
      </c>
      <c r="G84" s="43">
        <v>0.2965</v>
      </c>
      <c r="H84" s="44">
        <f t="shared" si="88"/>
        <v>1.3078</v>
      </c>
      <c r="I84" s="44">
        <f t="shared" si="92"/>
        <v>1.3008</v>
      </c>
      <c r="J84" s="44">
        <f t="shared" si="93"/>
        <v>1.905</v>
      </c>
      <c r="K84" s="44">
        <f t="shared" si="94"/>
        <v>0.1416</v>
      </c>
      <c r="L84" s="45">
        <f t="shared" si="89"/>
        <v>6.74</v>
      </c>
      <c r="M84" s="44">
        <f t="shared" si="95"/>
        <v>1.3008</v>
      </c>
      <c r="N84" s="44">
        <f t="shared" si="96"/>
        <v>0.7013</v>
      </c>
      <c r="O84" s="45">
        <f t="shared" si="41"/>
        <v>6.31</v>
      </c>
      <c r="P84" s="45" t="e">
        <f>H84*3.5+0.965*#REF!</f>
        <v>#REF!</v>
      </c>
      <c r="Q84" s="45">
        <f t="shared" si="90"/>
        <v>11.06</v>
      </c>
      <c r="R84" s="46">
        <f t="shared" si="91"/>
        <v>10.64</v>
      </c>
    </row>
    <row r="85" spans="3:18" ht="13.5" hidden="1" thickBot="1">
      <c r="C85" s="42">
        <v>38961</v>
      </c>
      <c r="D85" s="43">
        <v>1.2976</v>
      </c>
      <c r="E85" s="43">
        <v>0.8537</v>
      </c>
      <c r="F85" s="43">
        <v>1.2912</v>
      </c>
      <c r="G85" s="43">
        <v>0.3191</v>
      </c>
      <c r="H85" s="44">
        <f>ROUND(M85+0.007,4)</f>
        <v>1.4261</v>
      </c>
      <c r="I85" s="44">
        <f t="shared" si="92"/>
        <v>1.4191</v>
      </c>
      <c r="J85" s="44">
        <f t="shared" si="93"/>
        <v>2.1346</v>
      </c>
      <c r="K85" s="44">
        <f t="shared" si="94"/>
        <v>0.1649</v>
      </c>
      <c r="L85" s="45">
        <f>ROUND((J85*3.1+K85*5.9),2)</f>
        <v>7.59</v>
      </c>
      <c r="M85" s="44">
        <f t="shared" si="95"/>
        <v>1.4191</v>
      </c>
      <c r="N85" s="44">
        <f t="shared" si="96"/>
        <v>0.7066</v>
      </c>
      <c r="O85" s="45">
        <f t="shared" si="41"/>
        <v>6.36</v>
      </c>
      <c r="P85" s="45" t="e">
        <f>H85*3.5+0.965*#REF!</f>
        <v>#REF!</v>
      </c>
      <c r="Q85" s="45">
        <f>ROUND(L85*0.965+I85*3.5,2)</f>
        <v>12.29</v>
      </c>
      <c r="R85" s="46">
        <f>ROUND(O85*0.965+M85*3.5,2)</f>
        <v>11.1</v>
      </c>
    </row>
    <row r="86" spans="3:18" ht="13.5" hidden="1" thickBot="1">
      <c r="C86" s="42">
        <v>38991</v>
      </c>
      <c r="D86" s="43">
        <v>1.2941</v>
      </c>
      <c r="E86" s="43">
        <v>0.9027</v>
      </c>
      <c r="F86" s="43">
        <v>1.2721</v>
      </c>
      <c r="G86" s="43">
        <v>0.3557</v>
      </c>
      <c r="H86" s="44">
        <f>ROUND(M86+0.007,4)</f>
        <v>1.4219</v>
      </c>
      <c r="I86" s="44">
        <f t="shared" si="92"/>
        <v>1.4149</v>
      </c>
      <c r="J86" s="44">
        <f t="shared" si="93"/>
        <v>2.0775</v>
      </c>
      <c r="K86" s="44">
        <f t="shared" si="94"/>
        <v>0.2026</v>
      </c>
      <c r="L86" s="45">
        <f>ROUND((J86*3.1+K86*5.9),2)</f>
        <v>7.64</v>
      </c>
      <c r="M86" s="44">
        <f t="shared" si="95"/>
        <v>1.4149</v>
      </c>
      <c r="N86" s="44">
        <f t="shared" si="96"/>
        <v>0.7551</v>
      </c>
      <c r="O86" s="45">
        <f t="shared" si="41"/>
        <v>6.8</v>
      </c>
      <c r="P86" s="45" t="e">
        <f>H86*3.5+0.965*#REF!</f>
        <v>#REF!</v>
      </c>
      <c r="Q86" s="45">
        <f>ROUND(L86*0.965+I86*3.5,2)</f>
        <v>12.32</v>
      </c>
      <c r="R86" s="46">
        <f>ROUND(O86*0.965+M86*3.5,2)</f>
        <v>11.51</v>
      </c>
    </row>
    <row r="87" spans="3:18" ht="13.5" hidden="1" thickBot="1">
      <c r="C87" s="42">
        <v>39022</v>
      </c>
      <c r="D87" s="43">
        <v>1.2693</v>
      </c>
      <c r="E87" s="43">
        <v>0.9837</v>
      </c>
      <c r="F87" s="43">
        <v>1.3123</v>
      </c>
      <c r="G87" s="43">
        <v>0.38</v>
      </c>
      <c r="H87" s="44">
        <f>ROUND(M87+0.007,4)</f>
        <v>1.3922</v>
      </c>
      <c r="I87" s="44">
        <f t="shared" si="92"/>
        <v>1.3852</v>
      </c>
      <c r="J87" s="44">
        <f t="shared" si="93"/>
        <v>2.2383</v>
      </c>
      <c r="K87" s="44">
        <f t="shared" si="94"/>
        <v>0.2276</v>
      </c>
      <c r="L87" s="45">
        <f>ROUND((J87*3.1+K87*5.9),2)</f>
        <v>8.28</v>
      </c>
      <c r="M87" s="44">
        <f t="shared" si="95"/>
        <v>1.3852</v>
      </c>
      <c r="N87" s="44">
        <f t="shared" si="96"/>
        <v>0.8353</v>
      </c>
      <c r="O87" s="45">
        <f t="shared" si="41"/>
        <v>7.52</v>
      </c>
      <c r="P87" s="45" t="e">
        <f>H87*3.5+0.965*#REF!</f>
        <v>#REF!</v>
      </c>
      <c r="Q87" s="45">
        <f>ROUND(L87*0.965+I87*3.5,2)</f>
        <v>12.84</v>
      </c>
      <c r="R87" s="46">
        <f>ROUND(O87*0.965+M87*3.5,2)</f>
        <v>12.11</v>
      </c>
    </row>
    <row r="88" spans="3:18" ht="13.5" hidden="1" thickBot="1">
      <c r="C88" s="42">
        <v>39052</v>
      </c>
      <c r="D88" s="43">
        <v>1.2384</v>
      </c>
      <c r="E88" s="43">
        <v>1.0225</v>
      </c>
      <c r="F88" s="43">
        <v>1.3624</v>
      </c>
      <c r="G88" s="43">
        <v>0.4079</v>
      </c>
      <c r="H88" s="44">
        <f>ROUND(M88+0.007,4)</f>
        <v>1.3551</v>
      </c>
      <c r="I88" s="44">
        <f t="shared" si="92"/>
        <v>1.3481</v>
      </c>
      <c r="J88" s="44">
        <f t="shared" si="93"/>
        <v>2.4388</v>
      </c>
      <c r="K88" s="44">
        <f t="shared" si="94"/>
        <v>0.2564</v>
      </c>
      <c r="L88" s="45">
        <f>ROUND((J88*3.1+K88*5.9),2)</f>
        <v>9.07</v>
      </c>
      <c r="M88" s="44">
        <f t="shared" si="95"/>
        <v>1.3481</v>
      </c>
      <c r="N88" s="44">
        <f t="shared" si="96"/>
        <v>0.8737</v>
      </c>
      <c r="O88" s="45">
        <f t="shared" si="41"/>
        <v>7.86</v>
      </c>
      <c r="P88" s="45" t="e">
        <f>H88*3.5+0.965*#REF!</f>
        <v>#REF!</v>
      </c>
      <c r="Q88" s="45">
        <f>ROUND(L88*0.965+I88*3.5,2)</f>
        <v>13.47</v>
      </c>
      <c r="R88" s="46">
        <f>ROUND(O88*0.965+M88*3.5,2)</f>
        <v>12.3</v>
      </c>
    </row>
    <row r="89" spans="3:25" ht="13.5" hidden="1" thickBot="1">
      <c r="C89" s="42">
        <v>39083</v>
      </c>
      <c r="D89" s="43">
        <v>1.1991</v>
      </c>
      <c r="E89" s="43">
        <v>1.0677</v>
      </c>
      <c r="F89" s="43">
        <v>1.3366</v>
      </c>
      <c r="G89" s="43">
        <v>0.468</v>
      </c>
      <c r="H89" s="44">
        <f>ROUND(M89+0.007,4)</f>
        <v>1.3079</v>
      </c>
      <c r="I89" s="44">
        <f>ROUND((D89-0.115)*1.2,4)</f>
        <v>1.3009</v>
      </c>
      <c r="J89" s="44">
        <f>ROUND(((F89-0.165)*1.383+(((F89-0.165)*1.572)-I89*0.9)*1.17),4)</f>
        <v>2.4053</v>
      </c>
      <c r="K89" s="44">
        <f>ROUND((G89-0.159)*1.03,4)</f>
        <v>0.3183</v>
      </c>
      <c r="L89" s="45">
        <f>ROUND((J89*3.1+K89*5.9),2)</f>
        <v>9.33</v>
      </c>
      <c r="M89" s="44">
        <f>I89</f>
        <v>1.3009</v>
      </c>
      <c r="N89" s="44">
        <f>ROUND((E89-0.14)*0.99,4)</f>
        <v>0.9184</v>
      </c>
      <c r="O89" s="45">
        <f t="shared" si="41"/>
        <v>8.27</v>
      </c>
      <c r="P89" s="45" t="e">
        <f>H89*3.5+0.965*#REF!</f>
        <v>#REF!</v>
      </c>
      <c r="Q89" s="48">
        <f>ROUND(L89*0.965+I89*3.5,2)</f>
        <v>13.56</v>
      </c>
      <c r="R89" s="51">
        <f>ROUND(O89*0.965+M89*3.5,2)</f>
        <v>12.53</v>
      </c>
      <c r="S89" s="49"/>
      <c r="T89" s="49"/>
      <c r="U89" s="49"/>
      <c r="V89" s="49"/>
      <c r="W89" s="49"/>
      <c r="X89" s="49"/>
      <c r="Y89" s="49"/>
    </row>
    <row r="90" spans="2:26" ht="22.5" customHeight="1" hidden="1" thickBot="1">
      <c r="B90" s="5"/>
      <c r="C90" s="188" t="s">
        <v>26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90"/>
      <c r="S90" s="50"/>
      <c r="T90" s="50"/>
      <c r="U90" s="50"/>
      <c r="V90" s="50"/>
      <c r="W90" s="50"/>
      <c r="X90" s="50"/>
      <c r="Y90" s="50"/>
      <c r="Z90" s="9"/>
    </row>
    <row r="91" spans="3:25" ht="13.5" hidden="1" thickBot="1">
      <c r="C91" s="42">
        <v>39114</v>
      </c>
      <c r="D91" s="43">
        <v>1.2129</v>
      </c>
      <c r="E91" s="43">
        <v>1.1021</v>
      </c>
      <c r="F91" s="43">
        <v>1.3454</v>
      </c>
      <c r="G91" s="43">
        <v>0.6005</v>
      </c>
      <c r="H91" s="44">
        <f aca="true" t="shared" si="97" ref="H91:H96">ROUND(M91+0.007,4)</f>
        <v>1.3182</v>
      </c>
      <c r="I91" s="44">
        <f aca="true" t="shared" si="98" ref="I91:I96">ROUND((D91-0.1202)*1.2,4)</f>
        <v>1.3112</v>
      </c>
      <c r="J91" s="44">
        <f aca="true" t="shared" si="99" ref="J91:J96">ROUND(((F91-0.1682)*1.383+(((F91-0.1682)*1.572)-I91*0.9)*1.17),4)</f>
        <v>2.4125</v>
      </c>
      <c r="K91" s="44">
        <f aca="true" t="shared" si="100" ref="K91:K96">ROUND((G91-0.1956)*1.03,4)</f>
        <v>0.417</v>
      </c>
      <c r="L91" s="45">
        <f aca="true" t="shared" si="101" ref="L91:L96">ROUND((J91*3.1+K91*5.9),2)</f>
        <v>9.94</v>
      </c>
      <c r="M91" s="44">
        <f aca="true" t="shared" si="102" ref="M91:M96">I91</f>
        <v>1.3112</v>
      </c>
      <c r="N91" s="44">
        <f aca="true" t="shared" si="103" ref="N91:N96">ROUND((E91-0.157)*0.99,4)</f>
        <v>0.9356</v>
      </c>
      <c r="O91" s="45">
        <f t="shared" si="41"/>
        <v>8.42</v>
      </c>
      <c r="P91" s="45" t="e">
        <f>H91*3.5+0.965*#REF!</f>
        <v>#REF!</v>
      </c>
      <c r="Q91" s="48">
        <f aca="true" t="shared" si="104" ref="Q91:Q96">ROUND(L91*0.965+I91*3.5,2)</f>
        <v>14.18</v>
      </c>
      <c r="R91" s="51">
        <f aca="true" t="shared" si="105" ref="R91:R96">ROUND(O91*0.965+M91*3.5,2)</f>
        <v>12.71</v>
      </c>
      <c r="S91" s="49"/>
      <c r="T91" s="49"/>
      <c r="U91" s="49"/>
      <c r="V91" s="49"/>
      <c r="W91" s="49"/>
      <c r="X91" s="49"/>
      <c r="Y91" s="49"/>
    </row>
    <row r="92" spans="3:18" ht="13.5" hidden="1" thickBot="1">
      <c r="C92" s="42">
        <v>39142</v>
      </c>
      <c r="D92" s="43">
        <v>1.2676</v>
      </c>
      <c r="E92" s="43">
        <v>1.1902</v>
      </c>
      <c r="F92" s="43">
        <v>1.3732</v>
      </c>
      <c r="G92" s="43">
        <v>0.706</v>
      </c>
      <c r="H92" s="44">
        <f t="shared" si="97"/>
        <v>1.3839</v>
      </c>
      <c r="I92" s="44">
        <f t="shared" si="98"/>
        <v>1.3769</v>
      </c>
      <c r="J92" s="44">
        <f t="shared" si="99"/>
        <v>2.4329</v>
      </c>
      <c r="K92" s="44">
        <f t="shared" si="100"/>
        <v>0.5257</v>
      </c>
      <c r="L92" s="45">
        <f t="shared" si="101"/>
        <v>10.64</v>
      </c>
      <c r="M92" s="44">
        <f t="shared" si="102"/>
        <v>1.3769</v>
      </c>
      <c r="N92" s="44">
        <f t="shared" si="103"/>
        <v>1.0229</v>
      </c>
      <c r="O92" s="45">
        <f t="shared" si="41"/>
        <v>9.21</v>
      </c>
      <c r="P92" s="45" t="e">
        <f>H92*3.5+0.965*#REF!</f>
        <v>#REF!</v>
      </c>
      <c r="Q92" s="45">
        <f t="shared" si="104"/>
        <v>15.09</v>
      </c>
      <c r="R92" s="46">
        <f t="shared" si="105"/>
        <v>13.71</v>
      </c>
    </row>
    <row r="93" spans="3:18" ht="13.5" hidden="1" thickBot="1">
      <c r="C93" s="57">
        <v>39173</v>
      </c>
      <c r="D93" s="53">
        <v>1.3416</v>
      </c>
      <c r="E93" s="53">
        <v>1.4354</v>
      </c>
      <c r="F93" s="53">
        <v>1.4296</v>
      </c>
      <c r="G93" s="53">
        <v>0.7789</v>
      </c>
      <c r="H93" s="54">
        <f t="shared" si="97"/>
        <v>1.4727</v>
      </c>
      <c r="I93" s="54">
        <f t="shared" si="98"/>
        <v>1.4657</v>
      </c>
      <c r="J93" s="54">
        <f t="shared" si="99"/>
        <v>2.5212</v>
      </c>
      <c r="K93" s="54">
        <f t="shared" si="100"/>
        <v>0.6008</v>
      </c>
      <c r="L93" s="55">
        <f t="shared" si="101"/>
        <v>11.36</v>
      </c>
      <c r="M93" s="54">
        <f t="shared" si="102"/>
        <v>1.4657</v>
      </c>
      <c r="N93" s="54">
        <f t="shared" si="103"/>
        <v>1.2656</v>
      </c>
      <c r="O93" s="55">
        <f t="shared" si="41"/>
        <v>11.39</v>
      </c>
      <c r="P93" s="55" t="e">
        <f>H93*3.5+0.965*#REF!</f>
        <v>#REF!</v>
      </c>
      <c r="Q93" s="56">
        <f t="shared" si="104"/>
        <v>16.09</v>
      </c>
      <c r="R93" s="52">
        <f t="shared" si="105"/>
        <v>16.12</v>
      </c>
    </row>
    <row r="94" spans="3:18" ht="13.5" hidden="1" thickBot="1">
      <c r="C94" s="57">
        <v>39203</v>
      </c>
      <c r="D94" s="53">
        <v>1.429</v>
      </c>
      <c r="E94" s="53">
        <v>1.667</v>
      </c>
      <c r="F94" s="53">
        <v>1.5946</v>
      </c>
      <c r="G94" s="53">
        <v>0.7578</v>
      </c>
      <c r="H94" s="54">
        <f t="shared" si="97"/>
        <v>1.5776</v>
      </c>
      <c r="I94" s="54">
        <f t="shared" si="98"/>
        <v>1.5706</v>
      </c>
      <c r="J94" s="54">
        <f t="shared" si="99"/>
        <v>2.9424</v>
      </c>
      <c r="K94" s="54">
        <f t="shared" si="100"/>
        <v>0.5791</v>
      </c>
      <c r="L94" s="55">
        <f t="shared" si="101"/>
        <v>12.54</v>
      </c>
      <c r="M94" s="54">
        <f t="shared" si="102"/>
        <v>1.5706</v>
      </c>
      <c r="N94" s="54">
        <f t="shared" si="103"/>
        <v>1.4949</v>
      </c>
      <c r="O94" s="55">
        <f aca="true" t="shared" si="106" ref="O94:O132">ROUND(N94*9,2)</f>
        <v>13.45</v>
      </c>
      <c r="P94" s="55" t="e">
        <f>H94*3.5+0.965*#REF!</f>
        <v>#REF!</v>
      </c>
      <c r="Q94" s="56">
        <f t="shared" si="104"/>
        <v>17.6</v>
      </c>
      <c r="R94" s="52">
        <f t="shared" si="105"/>
        <v>18.48</v>
      </c>
    </row>
    <row r="95" spans="3:18" ht="13.5" hidden="1" thickBot="1">
      <c r="C95" s="57">
        <v>39234</v>
      </c>
      <c r="D95" s="53">
        <v>1.4916</v>
      </c>
      <c r="E95" s="53">
        <v>1.9012</v>
      </c>
      <c r="F95" s="53">
        <v>1.8561</v>
      </c>
      <c r="G95" s="53">
        <v>0.7617</v>
      </c>
      <c r="H95" s="54">
        <f t="shared" si="97"/>
        <v>1.6527</v>
      </c>
      <c r="I95" s="54">
        <f t="shared" si="98"/>
        <v>1.6457</v>
      </c>
      <c r="J95" s="54">
        <f t="shared" si="99"/>
        <v>3.7059</v>
      </c>
      <c r="K95" s="54">
        <f t="shared" si="100"/>
        <v>0.5831</v>
      </c>
      <c r="L95" s="55">
        <f t="shared" si="101"/>
        <v>14.93</v>
      </c>
      <c r="M95" s="54">
        <f t="shared" si="102"/>
        <v>1.6457</v>
      </c>
      <c r="N95" s="54">
        <f t="shared" si="103"/>
        <v>1.7268</v>
      </c>
      <c r="O95" s="55">
        <f t="shared" si="106"/>
        <v>15.54</v>
      </c>
      <c r="P95" s="55" t="e">
        <f>H95*3.5+0.965*#REF!</f>
        <v>#REF!</v>
      </c>
      <c r="Q95" s="56">
        <f t="shared" si="104"/>
        <v>20.17</v>
      </c>
      <c r="R95" s="52">
        <f t="shared" si="105"/>
        <v>20.76</v>
      </c>
    </row>
    <row r="96" spans="3:18" ht="13.5" hidden="1" thickBot="1">
      <c r="C96" s="57">
        <v>39264</v>
      </c>
      <c r="D96" s="53">
        <v>1.4627</v>
      </c>
      <c r="E96" s="53">
        <v>2.018</v>
      </c>
      <c r="F96" s="53">
        <v>2.0002</v>
      </c>
      <c r="G96" s="53">
        <v>0.7329</v>
      </c>
      <c r="H96" s="54">
        <f t="shared" si="97"/>
        <v>1.618</v>
      </c>
      <c r="I96" s="54">
        <f t="shared" si="98"/>
        <v>1.611</v>
      </c>
      <c r="J96" s="54">
        <f t="shared" si="99"/>
        <v>4.2068</v>
      </c>
      <c r="K96" s="54">
        <f t="shared" si="100"/>
        <v>0.5534</v>
      </c>
      <c r="L96" s="55">
        <f t="shared" si="101"/>
        <v>16.31</v>
      </c>
      <c r="M96" s="54">
        <f t="shared" si="102"/>
        <v>1.611</v>
      </c>
      <c r="N96" s="54">
        <f t="shared" si="103"/>
        <v>1.8424</v>
      </c>
      <c r="O96" s="55">
        <f t="shared" si="106"/>
        <v>16.58</v>
      </c>
      <c r="P96" s="55" t="e">
        <f>H96*3.5+0.965*#REF!</f>
        <v>#REF!</v>
      </c>
      <c r="Q96" s="56">
        <f t="shared" si="104"/>
        <v>21.38</v>
      </c>
      <c r="R96" s="52">
        <f t="shared" si="105"/>
        <v>21.64</v>
      </c>
    </row>
    <row r="97" spans="3:18" ht="13.5" hidden="1" thickBot="1">
      <c r="C97" s="57">
        <v>39295</v>
      </c>
      <c r="D97" s="53">
        <v>1.4429</v>
      </c>
      <c r="E97" s="53">
        <v>2.0545</v>
      </c>
      <c r="F97" s="53">
        <v>1.91</v>
      </c>
      <c r="G97" s="53">
        <v>0.6197</v>
      </c>
      <c r="H97" s="54">
        <f aca="true" t="shared" si="107" ref="H97:H102">ROUND(M97+0.007,4)</f>
        <v>1.5942</v>
      </c>
      <c r="I97" s="54">
        <f aca="true" t="shared" si="108" ref="I97:I102">ROUND((D97-0.1202)*1.2,4)</f>
        <v>1.5872</v>
      </c>
      <c r="J97" s="54">
        <f aca="true" t="shared" si="109" ref="J97:J102">ROUND(((F97-0.1682)*1.383+(((F97-0.1682)*1.572)-I97*0.9)*1.17),4)</f>
        <v>3.9412</v>
      </c>
      <c r="K97" s="54">
        <f aca="true" t="shared" si="110" ref="K97:K102">ROUND((G97-0.1956)*1.03,4)</f>
        <v>0.4368</v>
      </c>
      <c r="L97" s="55">
        <f aca="true" t="shared" si="111" ref="L97:L102">ROUND((J97*3.1+K97*5.9),2)</f>
        <v>14.79</v>
      </c>
      <c r="M97" s="54">
        <f aca="true" t="shared" si="112" ref="M97:M102">I97</f>
        <v>1.5872</v>
      </c>
      <c r="N97" s="54">
        <f aca="true" t="shared" si="113" ref="N97:N102">ROUND((E97-0.157)*0.99,4)</f>
        <v>1.8785</v>
      </c>
      <c r="O97" s="55">
        <f t="shared" si="106"/>
        <v>16.91</v>
      </c>
      <c r="P97" s="55" t="e">
        <f>H97*3.5+0.965*#REF!</f>
        <v>#REF!</v>
      </c>
      <c r="Q97" s="56">
        <f aca="true" t="shared" si="114" ref="Q97:Q102">ROUND(L97*0.965+I97*3.5,2)</f>
        <v>19.83</v>
      </c>
      <c r="R97" s="52">
        <f aca="true" t="shared" si="115" ref="R97:R102">ROUND(O97*0.965+M97*3.5,2)</f>
        <v>21.87</v>
      </c>
    </row>
    <row r="98" spans="3:18" ht="13.5" hidden="1" thickBot="1">
      <c r="C98" s="57">
        <v>39326</v>
      </c>
      <c r="D98" s="53">
        <v>1.3786</v>
      </c>
      <c r="E98" s="53">
        <v>2.0557</v>
      </c>
      <c r="F98" s="53">
        <v>2.025</v>
      </c>
      <c r="G98" s="53">
        <v>0.4762</v>
      </c>
      <c r="H98" s="54">
        <f t="shared" si="107"/>
        <v>1.5171</v>
      </c>
      <c r="I98" s="54">
        <f t="shared" si="108"/>
        <v>1.5101</v>
      </c>
      <c r="J98" s="54">
        <f t="shared" si="109"/>
        <v>4.3929</v>
      </c>
      <c r="K98" s="54">
        <f t="shared" si="110"/>
        <v>0.289</v>
      </c>
      <c r="L98" s="55">
        <f t="shared" si="111"/>
        <v>15.32</v>
      </c>
      <c r="M98" s="54">
        <f t="shared" si="112"/>
        <v>1.5101</v>
      </c>
      <c r="N98" s="54">
        <f t="shared" si="113"/>
        <v>1.8797</v>
      </c>
      <c r="O98" s="55">
        <f t="shared" si="106"/>
        <v>16.92</v>
      </c>
      <c r="P98" s="55" t="e">
        <f>H98*3.5+0.965*#REF!</f>
        <v>#REF!</v>
      </c>
      <c r="Q98" s="56">
        <f t="shared" si="114"/>
        <v>20.07</v>
      </c>
      <c r="R98" s="52">
        <f t="shared" si="115"/>
        <v>21.61</v>
      </c>
    </row>
    <row r="99" spans="3:18" ht="13.5" hidden="1" thickBot="1">
      <c r="C99" s="57">
        <v>39356</v>
      </c>
      <c r="D99" s="53">
        <v>1.2945</v>
      </c>
      <c r="E99" s="53">
        <v>2.0615</v>
      </c>
      <c r="F99" s="53">
        <v>1.9227</v>
      </c>
      <c r="G99" s="53">
        <v>0.4175</v>
      </c>
      <c r="H99" s="54">
        <f t="shared" si="107"/>
        <v>1.4162</v>
      </c>
      <c r="I99" s="54">
        <f t="shared" si="108"/>
        <v>1.4092</v>
      </c>
      <c r="J99" s="54">
        <f t="shared" si="109"/>
        <v>4.1695</v>
      </c>
      <c r="K99" s="54">
        <f t="shared" si="110"/>
        <v>0.2286</v>
      </c>
      <c r="L99" s="55">
        <f t="shared" si="111"/>
        <v>14.27</v>
      </c>
      <c r="M99" s="54">
        <f t="shared" si="112"/>
        <v>1.4092</v>
      </c>
      <c r="N99" s="54">
        <f t="shared" si="113"/>
        <v>1.8855</v>
      </c>
      <c r="O99" s="55">
        <f t="shared" si="106"/>
        <v>16.97</v>
      </c>
      <c r="P99" s="55" t="e">
        <f>H99*3.5+0.965*#REF!</f>
        <v>#REF!</v>
      </c>
      <c r="Q99" s="56">
        <f t="shared" si="114"/>
        <v>18.7</v>
      </c>
      <c r="R99" s="52">
        <f t="shared" si="115"/>
        <v>21.31</v>
      </c>
    </row>
    <row r="100" spans="3:18" ht="13.5" hidden="1" thickBot="1">
      <c r="C100" s="57">
        <v>39387</v>
      </c>
      <c r="D100" s="53">
        <v>1.2933</v>
      </c>
      <c r="E100" s="53">
        <v>1.9562</v>
      </c>
      <c r="F100" s="53">
        <v>1.9652</v>
      </c>
      <c r="G100" s="53">
        <v>0.4345</v>
      </c>
      <c r="H100" s="54">
        <f t="shared" si="107"/>
        <v>1.4147</v>
      </c>
      <c r="I100" s="54">
        <f t="shared" si="108"/>
        <v>1.4077</v>
      </c>
      <c r="J100" s="54">
        <f t="shared" si="109"/>
        <v>4.3081</v>
      </c>
      <c r="K100" s="54">
        <f t="shared" si="110"/>
        <v>0.2461</v>
      </c>
      <c r="L100" s="55">
        <f t="shared" si="111"/>
        <v>14.81</v>
      </c>
      <c r="M100" s="54">
        <f t="shared" si="112"/>
        <v>1.4077</v>
      </c>
      <c r="N100" s="54">
        <f t="shared" si="113"/>
        <v>1.7812</v>
      </c>
      <c r="O100" s="55">
        <f t="shared" si="106"/>
        <v>16.03</v>
      </c>
      <c r="P100" s="55" t="e">
        <f>H100*3.5+0.965*#REF!</f>
        <v>#REF!</v>
      </c>
      <c r="Q100" s="56">
        <f t="shared" si="114"/>
        <v>19.22</v>
      </c>
      <c r="R100" s="52">
        <f t="shared" si="115"/>
        <v>20.4</v>
      </c>
    </row>
    <row r="101" spans="3:18" ht="13.5" hidden="1" thickBot="1">
      <c r="C101" s="57">
        <v>39417</v>
      </c>
      <c r="D101" s="53">
        <v>1.3159</v>
      </c>
      <c r="E101" s="53">
        <v>1.8031</v>
      </c>
      <c r="F101" s="53">
        <v>2.0976</v>
      </c>
      <c r="G101" s="53">
        <v>0.4516</v>
      </c>
      <c r="H101" s="54">
        <f t="shared" si="107"/>
        <v>1.4418</v>
      </c>
      <c r="I101" s="54">
        <f t="shared" si="108"/>
        <v>1.4348</v>
      </c>
      <c r="J101" s="54">
        <f t="shared" si="109"/>
        <v>4.7061</v>
      </c>
      <c r="K101" s="54">
        <f t="shared" si="110"/>
        <v>0.2637</v>
      </c>
      <c r="L101" s="55">
        <f t="shared" si="111"/>
        <v>16.14</v>
      </c>
      <c r="M101" s="54">
        <f t="shared" si="112"/>
        <v>1.4348</v>
      </c>
      <c r="N101" s="54">
        <f t="shared" si="113"/>
        <v>1.6296</v>
      </c>
      <c r="O101" s="55">
        <f t="shared" si="106"/>
        <v>14.67</v>
      </c>
      <c r="P101" s="55" t="e">
        <f>H101*3.5+0.965*#REF!</f>
        <v>#REF!</v>
      </c>
      <c r="Q101" s="56">
        <f t="shared" si="114"/>
        <v>20.6</v>
      </c>
      <c r="R101" s="52">
        <f t="shared" si="115"/>
        <v>19.18</v>
      </c>
    </row>
    <row r="102" spans="3:18" ht="13.5" hidden="1" thickBot="1">
      <c r="C102" s="57">
        <v>39448</v>
      </c>
      <c r="D102" s="53">
        <v>1.2301</v>
      </c>
      <c r="E102" s="53">
        <v>1.509</v>
      </c>
      <c r="F102" s="53">
        <v>1.9998</v>
      </c>
      <c r="G102" s="53">
        <v>0.3992</v>
      </c>
      <c r="H102" s="54">
        <f t="shared" si="107"/>
        <v>1.3389</v>
      </c>
      <c r="I102" s="54">
        <f t="shared" si="108"/>
        <v>1.3319</v>
      </c>
      <c r="J102" s="54">
        <f t="shared" si="109"/>
        <v>4.4994</v>
      </c>
      <c r="K102" s="54">
        <f t="shared" si="110"/>
        <v>0.2097</v>
      </c>
      <c r="L102" s="55">
        <f t="shared" si="111"/>
        <v>15.19</v>
      </c>
      <c r="M102" s="54">
        <f t="shared" si="112"/>
        <v>1.3319</v>
      </c>
      <c r="N102" s="54">
        <f t="shared" si="113"/>
        <v>1.3385</v>
      </c>
      <c r="O102" s="55">
        <f t="shared" si="106"/>
        <v>12.05</v>
      </c>
      <c r="P102" s="55" t="e">
        <f>H102*3.5+0.965*#REF!</f>
        <v>#REF!</v>
      </c>
      <c r="Q102" s="56">
        <f t="shared" si="114"/>
        <v>19.32</v>
      </c>
      <c r="R102" s="52">
        <f t="shared" si="115"/>
        <v>16.29</v>
      </c>
    </row>
    <row r="103" spans="3:18" ht="13.5" hidden="1" thickBot="1">
      <c r="C103" s="57">
        <v>39479</v>
      </c>
      <c r="D103" s="53">
        <v>1.2044</v>
      </c>
      <c r="E103" s="53">
        <v>1.3331</v>
      </c>
      <c r="F103" s="53">
        <v>1.8403</v>
      </c>
      <c r="G103" s="53">
        <v>0.2736</v>
      </c>
      <c r="H103" s="54">
        <f aca="true" t="shared" si="116" ref="H103:H108">ROUND(M103+0.007,4)</f>
        <v>1.308</v>
      </c>
      <c r="I103" s="54">
        <f aca="true" t="shared" si="117" ref="I103:I108">ROUND((D103-0.1202)*1.2,4)</f>
        <v>1.301</v>
      </c>
      <c r="J103" s="54">
        <f aca="true" t="shared" si="118" ref="J103:J108">ROUND(((F103-0.1682)*1.383+(((F103-0.1682)*1.572)-I103*0.9)*1.17),4)</f>
        <v>4.018</v>
      </c>
      <c r="K103" s="54">
        <f aca="true" t="shared" si="119" ref="K103:K108">ROUND((G103-0.1956)*1.03,4)</f>
        <v>0.0803</v>
      </c>
      <c r="L103" s="55">
        <f aca="true" t="shared" si="120" ref="L103:L108">ROUND((J103*3.1+K103*5.9),2)</f>
        <v>12.93</v>
      </c>
      <c r="M103" s="54">
        <f aca="true" t="shared" si="121" ref="M103:M108">I103</f>
        <v>1.301</v>
      </c>
      <c r="N103" s="54">
        <f aca="true" t="shared" si="122" ref="N103:N108">ROUND((E103-0.157)*0.99,4)</f>
        <v>1.1643</v>
      </c>
      <c r="O103" s="55">
        <f t="shared" si="106"/>
        <v>10.48</v>
      </c>
      <c r="P103" s="55" t="e">
        <f>H103*3.5+0.965*#REF!</f>
        <v>#REF!</v>
      </c>
      <c r="Q103" s="56">
        <f aca="true" t="shared" si="123" ref="Q103:Q108">ROUND(L103*0.965+I103*3.5,2)</f>
        <v>17.03</v>
      </c>
      <c r="R103" s="52">
        <f aca="true" t="shared" si="124" ref="R103:R108">ROUND(O103*0.965+M103*3.5,2)</f>
        <v>14.67</v>
      </c>
    </row>
    <row r="104" spans="3:18" ht="13.5" hidden="1" thickBot="1">
      <c r="C104" s="57">
        <v>39508</v>
      </c>
      <c r="D104" s="53">
        <v>1.2539</v>
      </c>
      <c r="E104" s="53">
        <v>1.2512</v>
      </c>
      <c r="F104" s="53">
        <v>1.9575</v>
      </c>
      <c r="G104" s="53">
        <v>0.2435</v>
      </c>
      <c r="H104" s="54">
        <f t="shared" si="116"/>
        <v>1.3674</v>
      </c>
      <c r="I104" s="54">
        <f t="shared" si="117"/>
        <v>1.3604</v>
      </c>
      <c r="J104" s="54">
        <f t="shared" si="118"/>
        <v>4.3331</v>
      </c>
      <c r="K104" s="54">
        <f t="shared" si="119"/>
        <v>0.0493</v>
      </c>
      <c r="L104" s="55">
        <f t="shared" si="120"/>
        <v>13.72</v>
      </c>
      <c r="M104" s="54">
        <f t="shared" si="121"/>
        <v>1.3604</v>
      </c>
      <c r="N104" s="54">
        <f t="shared" si="122"/>
        <v>1.0833</v>
      </c>
      <c r="O104" s="55">
        <f t="shared" si="106"/>
        <v>9.75</v>
      </c>
      <c r="P104" s="55" t="e">
        <f>H104*3.5+0.965*#REF!</f>
        <v>#REF!</v>
      </c>
      <c r="Q104" s="56">
        <f t="shared" si="123"/>
        <v>18</v>
      </c>
      <c r="R104" s="52">
        <f t="shared" si="124"/>
        <v>14.17</v>
      </c>
    </row>
    <row r="105" spans="3:18" ht="13.5" hidden="1" thickBot="1">
      <c r="C105" s="57">
        <v>39539</v>
      </c>
      <c r="D105" s="53">
        <v>1.3492</v>
      </c>
      <c r="E105" s="53">
        <v>1.2506</v>
      </c>
      <c r="F105" s="53">
        <v>1.8164</v>
      </c>
      <c r="G105" s="53">
        <v>0.256</v>
      </c>
      <c r="H105" s="54">
        <f t="shared" si="116"/>
        <v>1.4818</v>
      </c>
      <c r="I105" s="54">
        <f t="shared" si="117"/>
        <v>1.4748</v>
      </c>
      <c r="J105" s="54">
        <f t="shared" si="118"/>
        <v>3.7579</v>
      </c>
      <c r="K105" s="54">
        <f t="shared" si="119"/>
        <v>0.0622</v>
      </c>
      <c r="L105" s="55">
        <f t="shared" si="120"/>
        <v>12.02</v>
      </c>
      <c r="M105" s="54">
        <f t="shared" si="121"/>
        <v>1.4748</v>
      </c>
      <c r="N105" s="54">
        <f t="shared" si="122"/>
        <v>1.0827</v>
      </c>
      <c r="O105" s="55">
        <f t="shared" si="106"/>
        <v>9.74</v>
      </c>
      <c r="P105" s="55" t="e">
        <f>H105*3.5+0.965*#REF!</f>
        <v>#REF!</v>
      </c>
      <c r="Q105" s="56">
        <f t="shared" si="123"/>
        <v>16.76</v>
      </c>
      <c r="R105" s="52">
        <f t="shared" si="124"/>
        <v>14.56</v>
      </c>
    </row>
    <row r="106" spans="3:18" ht="13.5" hidden="1" thickBot="1">
      <c r="C106" s="57">
        <v>39569</v>
      </c>
      <c r="D106" s="53">
        <v>1.417</v>
      </c>
      <c r="E106" s="53">
        <v>1.2985</v>
      </c>
      <c r="F106" s="53">
        <v>1.9525</v>
      </c>
      <c r="G106" s="53">
        <v>0.27</v>
      </c>
      <c r="H106" s="54">
        <f t="shared" si="116"/>
        <v>1.5632</v>
      </c>
      <c r="I106" s="54">
        <f t="shared" si="117"/>
        <v>1.5562</v>
      </c>
      <c r="J106" s="54">
        <f t="shared" si="118"/>
        <v>4.1108</v>
      </c>
      <c r="K106" s="54">
        <f t="shared" si="119"/>
        <v>0.0766</v>
      </c>
      <c r="L106" s="55">
        <f t="shared" si="120"/>
        <v>13.2</v>
      </c>
      <c r="M106" s="54">
        <f t="shared" si="121"/>
        <v>1.5562</v>
      </c>
      <c r="N106" s="54">
        <f t="shared" si="122"/>
        <v>1.1301</v>
      </c>
      <c r="O106" s="55">
        <f t="shared" si="106"/>
        <v>10.17</v>
      </c>
      <c r="P106" s="55" t="e">
        <f>H106*3.5+0.965*#REF!</f>
        <v>#REF!</v>
      </c>
      <c r="Q106" s="56">
        <f t="shared" si="123"/>
        <v>18.18</v>
      </c>
      <c r="R106" s="52">
        <f t="shared" si="124"/>
        <v>15.26</v>
      </c>
    </row>
    <row r="107" spans="3:18" ht="13.5" hidden="1" thickBot="1">
      <c r="C107" s="57">
        <v>39600</v>
      </c>
      <c r="D107" s="53">
        <v>1.4669</v>
      </c>
      <c r="E107" s="53">
        <v>1.3508</v>
      </c>
      <c r="F107" s="53">
        <v>2.1609</v>
      </c>
      <c r="G107" s="53">
        <v>0.2758</v>
      </c>
      <c r="H107" s="54">
        <f t="shared" si="116"/>
        <v>1.623</v>
      </c>
      <c r="I107" s="54">
        <f t="shared" si="117"/>
        <v>1.616</v>
      </c>
      <c r="J107" s="54">
        <f t="shared" si="118"/>
        <v>4.7193</v>
      </c>
      <c r="K107" s="54">
        <f t="shared" si="119"/>
        <v>0.0826</v>
      </c>
      <c r="L107" s="55">
        <f t="shared" si="120"/>
        <v>15.12</v>
      </c>
      <c r="M107" s="54">
        <f t="shared" si="121"/>
        <v>1.616</v>
      </c>
      <c r="N107" s="54">
        <f t="shared" si="122"/>
        <v>1.1819</v>
      </c>
      <c r="O107" s="55">
        <f t="shared" si="106"/>
        <v>10.64</v>
      </c>
      <c r="P107" s="55" t="e">
        <f>H107*3.5+0.965*#REF!</f>
        <v>#REF!</v>
      </c>
      <c r="Q107" s="56">
        <f t="shared" si="123"/>
        <v>20.25</v>
      </c>
      <c r="R107" s="52">
        <f t="shared" si="124"/>
        <v>15.92</v>
      </c>
    </row>
    <row r="108" spans="3:18" ht="13.5" hidden="1" thickBot="1">
      <c r="C108" s="57">
        <v>39630</v>
      </c>
      <c r="D108" s="53">
        <v>1.518</v>
      </c>
      <c r="E108" s="53">
        <v>1.4053</v>
      </c>
      <c r="F108" s="53">
        <v>1.9585</v>
      </c>
      <c r="G108" s="53">
        <v>0.2642</v>
      </c>
      <c r="H108" s="54">
        <f t="shared" si="116"/>
        <v>1.6844</v>
      </c>
      <c r="I108" s="54">
        <f t="shared" si="117"/>
        <v>1.6774</v>
      </c>
      <c r="J108" s="54">
        <f t="shared" si="118"/>
        <v>4.0025</v>
      </c>
      <c r="K108" s="54">
        <f t="shared" si="119"/>
        <v>0.0707</v>
      </c>
      <c r="L108" s="55">
        <f t="shared" si="120"/>
        <v>12.82</v>
      </c>
      <c r="M108" s="54">
        <f t="shared" si="121"/>
        <v>1.6774</v>
      </c>
      <c r="N108" s="54">
        <f t="shared" si="122"/>
        <v>1.2358</v>
      </c>
      <c r="O108" s="55">
        <f t="shared" si="106"/>
        <v>11.12</v>
      </c>
      <c r="P108" s="55" t="e">
        <f>H108*3.5+0.965*#REF!</f>
        <v>#REF!</v>
      </c>
      <c r="Q108" s="56">
        <f t="shared" si="123"/>
        <v>18.24</v>
      </c>
      <c r="R108" s="52">
        <f t="shared" si="124"/>
        <v>16.6</v>
      </c>
    </row>
    <row r="109" spans="3:18" ht="13.5" hidden="1" thickBot="1">
      <c r="C109" s="57">
        <v>39661</v>
      </c>
      <c r="D109" s="58">
        <v>1.5713</v>
      </c>
      <c r="E109" s="58">
        <v>1.384</v>
      </c>
      <c r="F109" s="58">
        <v>1.8699</v>
      </c>
      <c r="G109" s="58">
        <v>0.247</v>
      </c>
      <c r="H109" s="59">
        <f>ROUND(M109+0.007,4)</f>
        <v>1.7483</v>
      </c>
      <c r="I109" s="59">
        <f>ROUND((D109-0.1202)*1.2,4)</f>
        <v>1.7413</v>
      </c>
      <c r="J109" s="59">
        <f>ROUND(((F109-0.1682)*1.383+(((F109-0.1682)*1.572)-I109*0.9)*1.17),4)</f>
        <v>3.6497</v>
      </c>
      <c r="K109" s="59">
        <f>ROUND((G109-0.1956)*1.03,4)</f>
        <v>0.0529</v>
      </c>
      <c r="L109" s="60">
        <f>ROUND((J109*3.1+K109*5.9),2)</f>
        <v>11.63</v>
      </c>
      <c r="M109" s="59">
        <f>I109</f>
        <v>1.7413</v>
      </c>
      <c r="N109" s="59">
        <f>ROUND((E109-0.157)*0.99,4)</f>
        <v>1.2147</v>
      </c>
      <c r="O109" s="60">
        <f t="shared" si="106"/>
        <v>10.93</v>
      </c>
      <c r="P109" s="60" t="e">
        <f>H109*3.5+0.965*#REF!</f>
        <v>#REF!</v>
      </c>
      <c r="Q109" s="61">
        <f>ROUND(L109*0.965+I109*3.5,2)</f>
        <v>17.32</v>
      </c>
      <c r="R109" s="62">
        <f>ROUND(O109*0.965+M109*3.5,2)</f>
        <v>16.64</v>
      </c>
    </row>
    <row r="110" spans="3:18" ht="13.5" hidden="1" thickBot="1">
      <c r="C110" s="57">
        <v>39692</v>
      </c>
      <c r="D110" s="63">
        <v>1.6365</v>
      </c>
      <c r="E110" s="63">
        <v>1.2131</v>
      </c>
      <c r="F110" s="63">
        <v>1.7773</v>
      </c>
      <c r="G110" s="63">
        <v>0.2183</v>
      </c>
      <c r="H110" s="18">
        <f>ROUND(M110+0.007,4)</f>
        <v>1.8266</v>
      </c>
      <c r="I110" s="18">
        <f>ROUND((D110-0.1202)*1.2,4)</f>
        <v>1.8196</v>
      </c>
      <c r="J110" s="18">
        <f>ROUND(((F110-0.1682)*1.383+(((F110-0.1682)*1.572)-I110*0.9)*1.17),4)</f>
        <v>3.2689</v>
      </c>
      <c r="K110" s="18">
        <f>ROUND((G110-0.1956)*1.03,4)</f>
        <v>0.0234</v>
      </c>
      <c r="L110" s="19">
        <f>ROUND((J110*3.1+K110*5.9),2)</f>
        <v>10.27</v>
      </c>
      <c r="M110" s="18">
        <f>I110</f>
        <v>1.8196</v>
      </c>
      <c r="N110" s="18">
        <f>ROUND((E110-0.157)*0.99,4)</f>
        <v>1.0455</v>
      </c>
      <c r="O110" s="19">
        <f t="shared" si="106"/>
        <v>9.41</v>
      </c>
      <c r="P110" s="19" t="e">
        <f>H110*3.5+0.965*#REF!</f>
        <v>#REF!</v>
      </c>
      <c r="Q110" s="19">
        <f>ROUND(L110*0.965+I110*3.5,2)</f>
        <v>16.28</v>
      </c>
      <c r="R110" s="19">
        <f>ROUND(O110*0.965+M110*3.5,2)</f>
        <v>15.45</v>
      </c>
    </row>
    <row r="111" spans="3:18" ht="25.5" customHeight="1" hidden="1" thickBot="1">
      <c r="C111" s="57"/>
      <c r="D111" s="176" t="s">
        <v>27</v>
      </c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8"/>
    </row>
    <row r="112" spans="3:18" ht="24" customHeight="1" hidden="1" thickBot="1">
      <c r="C112" s="13"/>
      <c r="D112" s="179" t="s">
        <v>19</v>
      </c>
      <c r="E112" s="180"/>
      <c r="F112" s="180"/>
      <c r="G112" s="181"/>
      <c r="H112" s="182" t="s">
        <v>18</v>
      </c>
      <c r="I112" s="183"/>
      <c r="J112" s="183"/>
      <c r="K112" s="183"/>
      <c r="L112" s="183"/>
      <c r="M112" s="183"/>
      <c r="N112" s="183"/>
      <c r="O112" s="184"/>
      <c r="P112" s="185" t="s">
        <v>11</v>
      </c>
      <c r="Q112" s="186"/>
      <c r="R112" s="187"/>
    </row>
    <row r="113" spans="3:18" ht="13.5" customHeight="1" hidden="1">
      <c r="C113" s="162" t="s">
        <v>20</v>
      </c>
      <c r="D113" s="164" t="s">
        <v>1</v>
      </c>
      <c r="E113" s="166" t="s">
        <v>2</v>
      </c>
      <c r="F113" s="166" t="s">
        <v>3</v>
      </c>
      <c r="G113" s="166" t="s">
        <v>4</v>
      </c>
      <c r="H113" s="159" t="s">
        <v>8</v>
      </c>
      <c r="I113" s="157" t="s">
        <v>12</v>
      </c>
      <c r="J113" s="159" t="s">
        <v>13</v>
      </c>
      <c r="K113" s="159" t="s">
        <v>15</v>
      </c>
      <c r="L113" s="159" t="s">
        <v>14</v>
      </c>
      <c r="M113" s="159" t="s">
        <v>21</v>
      </c>
      <c r="N113" s="159" t="s">
        <v>17</v>
      </c>
      <c r="O113" s="159" t="s">
        <v>16</v>
      </c>
      <c r="P113" s="174" t="s">
        <v>9</v>
      </c>
      <c r="Q113" s="169" t="s">
        <v>7</v>
      </c>
      <c r="R113" s="169" t="s">
        <v>10</v>
      </c>
    </row>
    <row r="114" spans="3:18" ht="12.75" hidden="1">
      <c r="C114" s="163"/>
      <c r="D114" s="165"/>
      <c r="E114" s="167"/>
      <c r="F114" s="168"/>
      <c r="G114" s="168"/>
      <c r="H114" s="168"/>
      <c r="I114" s="158"/>
      <c r="J114" s="160"/>
      <c r="K114" s="161"/>
      <c r="L114" s="161"/>
      <c r="M114" s="172"/>
      <c r="N114" s="161"/>
      <c r="O114" s="173"/>
      <c r="P114" s="170"/>
      <c r="Q114" s="170"/>
      <c r="R114" s="171"/>
    </row>
    <row r="115" spans="3:18" ht="12.75" hidden="1">
      <c r="C115" s="163"/>
      <c r="D115" s="165"/>
      <c r="E115" s="167"/>
      <c r="F115" s="168"/>
      <c r="G115" s="168"/>
      <c r="H115" s="168"/>
      <c r="I115" s="158"/>
      <c r="J115" s="160"/>
      <c r="K115" s="161"/>
      <c r="L115" s="161"/>
      <c r="M115" s="172"/>
      <c r="N115" s="161"/>
      <c r="O115" s="173"/>
      <c r="P115" s="170"/>
      <c r="Q115" s="170"/>
      <c r="R115" s="171"/>
    </row>
    <row r="116" spans="4:18" ht="13.5" hidden="1" thickBot="1">
      <c r="D116" s="64"/>
      <c r="E116" s="64"/>
      <c r="F116" s="64"/>
      <c r="G116" s="64"/>
      <c r="H116" s="64"/>
      <c r="I116" s="64"/>
      <c r="J116" s="64"/>
      <c r="K116" s="65"/>
      <c r="L116" s="65"/>
      <c r="M116" s="65"/>
      <c r="N116" s="65"/>
      <c r="O116" s="66"/>
      <c r="P116" s="65"/>
      <c r="Q116" s="67"/>
      <c r="R116" s="64"/>
    </row>
    <row r="117" spans="2:18" ht="13.5" hidden="1" thickBot="1">
      <c r="B117">
        <v>1</v>
      </c>
      <c r="C117" s="57">
        <v>39722</v>
      </c>
      <c r="D117" s="68">
        <v>1.6997</v>
      </c>
      <c r="E117" s="68">
        <v>0.9987</v>
      </c>
      <c r="F117" s="68">
        <v>1.9065</v>
      </c>
      <c r="G117" s="68">
        <v>0.1945</v>
      </c>
      <c r="H117" s="18">
        <f aca="true" t="shared" si="125" ref="H117:H122">ROUND(M117+0.007,4)</f>
        <v>1.8577</v>
      </c>
      <c r="I117" s="18">
        <f aca="true" t="shared" si="126" ref="I117:I122">ROUND((D117-0.1715)*1.211,4)</f>
        <v>1.8507</v>
      </c>
      <c r="J117" s="18">
        <f aca="true" t="shared" si="127" ref="J117:J122">ROUND(((F117-0.2003)*1.383+(((F117-0.2003)*1.572)-I117*0.9)*1.17),4)</f>
        <v>3.549</v>
      </c>
      <c r="K117" s="18">
        <f aca="true" t="shared" si="128" ref="K117:K122">ROUND((G117-0.1991)*1.03,4)</f>
        <v>-0.0047</v>
      </c>
      <c r="L117" s="19">
        <f aca="true" t="shared" si="129" ref="L117:L122">ROUND((J117*3.1+K117*5.9),2)</f>
        <v>10.97</v>
      </c>
      <c r="M117" s="18">
        <f aca="true" t="shared" si="130" ref="M117:M122">I117</f>
        <v>1.8507</v>
      </c>
      <c r="N117" s="18">
        <f aca="true" t="shared" si="131" ref="N117:N122">ROUND((E117-0.1678)*0.99,4)</f>
        <v>0.8226</v>
      </c>
      <c r="O117" s="19">
        <f t="shared" si="106"/>
        <v>7.4</v>
      </c>
      <c r="P117" s="19" t="e">
        <f>H117*3.5+0.965*#REF!</f>
        <v>#REF!</v>
      </c>
      <c r="Q117" s="19">
        <f aca="true" t="shared" si="132" ref="Q117:Q122">ROUND(L117*0.965+I117*3.5,2)</f>
        <v>17.06</v>
      </c>
      <c r="R117" s="19">
        <f aca="true" t="shared" si="133" ref="R117:R122">ROUND(O117*0.965+M117*3.5,2)</f>
        <v>13.62</v>
      </c>
    </row>
    <row r="118" spans="2:18" ht="13.5" hidden="1" thickBot="1">
      <c r="B118">
        <v>2</v>
      </c>
      <c r="C118" s="57">
        <v>39753</v>
      </c>
      <c r="D118" s="68">
        <v>1.6356</v>
      </c>
      <c r="E118" s="68">
        <v>0.8701</v>
      </c>
      <c r="F118" s="68">
        <v>1.7511</v>
      </c>
      <c r="G118" s="68">
        <v>0.1895</v>
      </c>
      <c r="H118" s="18">
        <f t="shared" si="125"/>
        <v>1.78</v>
      </c>
      <c r="I118" s="18">
        <f t="shared" si="126"/>
        <v>1.773</v>
      </c>
      <c r="J118" s="18">
        <f t="shared" si="127"/>
        <v>3.1301</v>
      </c>
      <c r="K118" s="18">
        <f t="shared" si="128"/>
        <v>-0.0099</v>
      </c>
      <c r="L118" s="19">
        <f t="shared" si="129"/>
        <v>9.64</v>
      </c>
      <c r="M118" s="18">
        <f t="shared" si="130"/>
        <v>1.773</v>
      </c>
      <c r="N118" s="18">
        <f t="shared" si="131"/>
        <v>0.6953</v>
      </c>
      <c r="O118" s="19">
        <f t="shared" si="106"/>
        <v>6.26</v>
      </c>
      <c r="P118" s="19" t="e">
        <f>H118*3.5+0.965*#REF!</f>
        <v>#REF!</v>
      </c>
      <c r="Q118" s="19">
        <f t="shared" si="132"/>
        <v>15.51</v>
      </c>
      <c r="R118" s="19">
        <f t="shared" si="133"/>
        <v>12.25</v>
      </c>
    </row>
    <row r="119" spans="2:18" ht="13.5" hidden="1" thickBot="1">
      <c r="B119">
        <v>3</v>
      </c>
      <c r="C119" s="57">
        <v>39783</v>
      </c>
      <c r="D119" s="68">
        <v>1.2448</v>
      </c>
      <c r="E119" s="68">
        <v>0.8425</v>
      </c>
      <c r="F119" s="68">
        <v>1.7544</v>
      </c>
      <c r="G119" s="68">
        <v>0.173</v>
      </c>
      <c r="H119" s="18">
        <f t="shared" si="125"/>
        <v>1.3068</v>
      </c>
      <c r="I119" s="18">
        <f t="shared" si="126"/>
        <v>1.2998</v>
      </c>
      <c r="J119" s="18">
        <f t="shared" si="127"/>
        <v>3.639</v>
      </c>
      <c r="K119" s="18">
        <f t="shared" si="128"/>
        <v>-0.0269</v>
      </c>
      <c r="L119" s="19">
        <f t="shared" si="129"/>
        <v>11.12</v>
      </c>
      <c r="M119" s="18">
        <f t="shared" si="130"/>
        <v>1.2998</v>
      </c>
      <c r="N119" s="18">
        <f t="shared" si="131"/>
        <v>0.668</v>
      </c>
      <c r="O119" s="19">
        <f t="shared" si="106"/>
        <v>6.01</v>
      </c>
      <c r="P119" s="19" t="e">
        <f>H119*3.5+0.965*#REF!</f>
        <v>#REF!</v>
      </c>
      <c r="Q119" s="19">
        <f t="shared" si="132"/>
        <v>15.28</v>
      </c>
      <c r="R119" s="19">
        <f t="shared" si="133"/>
        <v>10.35</v>
      </c>
    </row>
    <row r="120" spans="2:18" ht="13.5" hidden="1" thickBot="1">
      <c r="B120">
        <v>4</v>
      </c>
      <c r="C120" s="57">
        <v>39814</v>
      </c>
      <c r="D120" s="68">
        <v>1.0868</v>
      </c>
      <c r="E120" s="68">
        <v>0.8318</v>
      </c>
      <c r="F120" s="68">
        <v>1.2961</v>
      </c>
      <c r="G120" s="68">
        <v>0.1696</v>
      </c>
      <c r="H120" s="18">
        <f t="shared" si="125"/>
        <v>1.1154</v>
      </c>
      <c r="I120" s="18">
        <f t="shared" si="126"/>
        <v>1.1084</v>
      </c>
      <c r="J120" s="18">
        <f t="shared" si="127"/>
        <v>2.3638</v>
      </c>
      <c r="K120" s="18">
        <f t="shared" si="128"/>
        <v>-0.0304</v>
      </c>
      <c r="L120" s="19">
        <f t="shared" si="129"/>
        <v>7.15</v>
      </c>
      <c r="M120" s="18">
        <f t="shared" si="130"/>
        <v>1.1084</v>
      </c>
      <c r="N120" s="18">
        <f t="shared" si="131"/>
        <v>0.6574</v>
      </c>
      <c r="O120" s="19">
        <f t="shared" si="106"/>
        <v>5.92</v>
      </c>
      <c r="P120" s="19" t="e">
        <f>H120*3.5+0.965*#REF!</f>
        <v>#REF!</v>
      </c>
      <c r="Q120" s="19">
        <f t="shared" si="132"/>
        <v>10.78</v>
      </c>
      <c r="R120" s="19">
        <f t="shared" si="133"/>
        <v>9.59</v>
      </c>
    </row>
    <row r="121" spans="2:18" ht="13.5" hidden="1" thickBot="1">
      <c r="B121">
        <v>5</v>
      </c>
      <c r="C121" s="57">
        <v>39845</v>
      </c>
      <c r="D121" s="68">
        <v>1.075</v>
      </c>
      <c r="E121" s="68">
        <v>0.8215</v>
      </c>
      <c r="F121" s="68">
        <v>1.1518</v>
      </c>
      <c r="G121" s="68">
        <v>0.1567</v>
      </c>
      <c r="H121" s="18">
        <f t="shared" si="125"/>
        <v>1.1011</v>
      </c>
      <c r="I121" s="18">
        <f t="shared" si="126"/>
        <v>1.0941</v>
      </c>
      <c r="J121" s="18">
        <f t="shared" si="127"/>
        <v>1.9139</v>
      </c>
      <c r="K121" s="18">
        <f t="shared" si="128"/>
        <v>-0.0437</v>
      </c>
      <c r="L121" s="19">
        <f t="shared" si="129"/>
        <v>5.68</v>
      </c>
      <c r="M121" s="18">
        <f t="shared" si="130"/>
        <v>1.0941</v>
      </c>
      <c r="N121" s="18">
        <f t="shared" si="131"/>
        <v>0.6472</v>
      </c>
      <c r="O121" s="19">
        <f t="shared" si="106"/>
        <v>5.82</v>
      </c>
      <c r="P121" s="19" t="e">
        <f>H121*3.5+0.965*#REF!</f>
        <v>#REF!</v>
      </c>
      <c r="Q121" s="19">
        <f t="shared" si="132"/>
        <v>9.31</v>
      </c>
      <c r="R121" s="19">
        <f t="shared" si="133"/>
        <v>9.45</v>
      </c>
    </row>
    <row r="122" spans="2:18" ht="13.5" hidden="1" thickBot="1">
      <c r="B122">
        <v>6</v>
      </c>
      <c r="C122" s="57">
        <v>39873</v>
      </c>
      <c r="D122" s="68">
        <v>1.1289</v>
      </c>
      <c r="E122" s="68">
        <v>0.8166</v>
      </c>
      <c r="F122" s="68">
        <v>1.2611</v>
      </c>
      <c r="G122" s="68">
        <v>0.1662</v>
      </c>
      <c r="H122" s="18">
        <f t="shared" si="125"/>
        <v>1.1664</v>
      </c>
      <c r="I122" s="18">
        <f t="shared" si="126"/>
        <v>1.1594</v>
      </c>
      <c r="J122" s="18">
        <f t="shared" si="127"/>
        <v>2.1973</v>
      </c>
      <c r="K122" s="18">
        <f t="shared" si="128"/>
        <v>-0.0339</v>
      </c>
      <c r="L122" s="19">
        <f t="shared" si="129"/>
        <v>6.61</v>
      </c>
      <c r="M122" s="18">
        <f t="shared" si="130"/>
        <v>1.1594</v>
      </c>
      <c r="N122" s="18">
        <f t="shared" si="131"/>
        <v>0.6423</v>
      </c>
      <c r="O122" s="19">
        <f t="shared" si="106"/>
        <v>5.78</v>
      </c>
      <c r="P122" s="19" t="e">
        <f>H122*3.5+0.965*#REF!</f>
        <v>#REF!</v>
      </c>
      <c r="Q122" s="19">
        <f t="shared" si="132"/>
        <v>10.44</v>
      </c>
      <c r="R122" s="19">
        <f t="shared" si="133"/>
        <v>9.64</v>
      </c>
    </row>
    <row r="123" spans="2:18" ht="13.5" hidden="1" thickBot="1">
      <c r="B123">
        <v>7</v>
      </c>
      <c r="C123" s="57">
        <v>39904</v>
      </c>
      <c r="D123" s="68">
        <v>1.1665</v>
      </c>
      <c r="E123" s="68">
        <v>0.8195</v>
      </c>
      <c r="F123" s="68">
        <v>1.2771</v>
      </c>
      <c r="G123" s="68">
        <v>0.1949</v>
      </c>
      <c r="H123" s="18">
        <f aca="true" t="shared" si="134" ref="H123:H128">ROUND(M123+0.007,4)</f>
        <v>1.2119</v>
      </c>
      <c r="I123" s="18">
        <f aca="true" t="shared" si="135" ref="I123:I128">ROUND((D123-0.1715)*1.211,4)</f>
        <v>1.2049</v>
      </c>
      <c r="J123" s="18">
        <f aca="true" t="shared" si="136" ref="J123:J128">ROUND(((F123-0.2003)*1.383+(((F123-0.2003)*1.572)-I123*0.9)*1.17),4)</f>
        <v>2.2009</v>
      </c>
      <c r="K123" s="18">
        <f aca="true" t="shared" si="137" ref="K123:K128">ROUND((G123-0.1991)*1.03,4)</f>
        <v>-0.0043</v>
      </c>
      <c r="L123" s="19">
        <f aca="true" t="shared" si="138" ref="L123:L128">ROUND((J123*3.1+K123*5.9),2)</f>
        <v>6.8</v>
      </c>
      <c r="M123" s="18">
        <f aca="true" t="shared" si="139" ref="M123:M128">I123</f>
        <v>1.2049</v>
      </c>
      <c r="N123" s="18">
        <f aca="true" t="shared" si="140" ref="N123:N128">ROUND((E123-0.1678)*0.99,4)</f>
        <v>0.6452</v>
      </c>
      <c r="O123" s="19">
        <f t="shared" si="106"/>
        <v>5.81</v>
      </c>
      <c r="P123" s="19" t="e">
        <f>H123*3.5+0.965*#REF!</f>
        <v>#REF!</v>
      </c>
      <c r="Q123" s="19">
        <f aca="true" t="shared" si="141" ref="Q123:Q128">ROUND(L123*0.965+I123*3.5,2)</f>
        <v>10.78</v>
      </c>
      <c r="R123" s="19">
        <f aca="true" t="shared" si="142" ref="R123:R128">ROUND(O123*0.965+M123*3.5,2)</f>
        <v>9.82</v>
      </c>
    </row>
    <row r="124" spans="2:18" ht="13.5" hidden="1" thickBot="1">
      <c r="B124">
        <v>8</v>
      </c>
      <c r="C124" s="57">
        <v>39934</v>
      </c>
      <c r="D124" s="68">
        <v>1.2159</v>
      </c>
      <c r="E124" s="68">
        <v>0.8318</v>
      </c>
      <c r="F124" s="68">
        <v>1.1553</v>
      </c>
      <c r="G124" s="68">
        <v>0.2317</v>
      </c>
      <c r="H124" s="18">
        <f t="shared" si="134"/>
        <v>1.2718</v>
      </c>
      <c r="I124" s="18">
        <f t="shared" si="135"/>
        <v>1.2648</v>
      </c>
      <c r="J124" s="18">
        <f t="shared" si="136"/>
        <v>1.7454</v>
      </c>
      <c r="K124" s="18">
        <f t="shared" si="137"/>
        <v>0.0336</v>
      </c>
      <c r="L124" s="19">
        <f t="shared" si="138"/>
        <v>5.61</v>
      </c>
      <c r="M124" s="18">
        <f t="shared" si="139"/>
        <v>1.2648</v>
      </c>
      <c r="N124" s="18">
        <f t="shared" si="140"/>
        <v>0.6574</v>
      </c>
      <c r="O124" s="19">
        <f t="shared" si="106"/>
        <v>5.92</v>
      </c>
      <c r="P124" s="19" t="e">
        <f>H124*3.5+0.965*#REF!</f>
        <v>#REF!</v>
      </c>
      <c r="Q124" s="19">
        <f t="shared" si="141"/>
        <v>9.84</v>
      </c>
      <c r="R124" s="19">
        <f t="shared" si="142"/>
        <v>10.14</v>
      </c>
    </row>
    <row r="125" spans="2:18" ht="13.5" hidden="1" thickBot="1">
      <c r="B125">
        <v>9</v>
      </c>
      <c r="C125" s="57">
        <v>39965</v>
      </c>
      <c r="D125" s="68">
        <v>1.2073</v>
      </c>
      <c r="E125" s="68">
        <v>0.8461</v>
      </c>
      <c r="F125" s="68">
        <v>1.1466</v>
      </c>
      <c r="G125" s="68">
        <v>0.2693</v>
      </c>
      <c r="H125" s="18">
        <f t="shared" si="134"/>
        <v>1.2614</v>
      </c>
      <c r="I125" s="18">
        <f t="shared" si="135"/>
        <v>1.2544</v>
      </c>
      <c r="J125" s="18">
        <f t="shared" si="136"/>
        <v>1.7283</v>
      </c>
      <c r="K125" s="18">
        <f t="shared" si="137"/>
        <v>0.0723</v>
      </c>
      <c r="L125" s="19">
        <f t="shared" si="138"/>
        <v>5.78</v>
      </c>
      <c r="M125" s="18">
        <f t="shared" si="139"/>
        <v>1.2544</v>
      </c>
      <c r="N125" s="18">
        <f t="shared" si="140"/>
        <v>0.6715</v>
      </c>
      <c r="O125" s="19">
        <f t="shared" si="106"/>
        <v>6.04</v>
      </c>
      <c r="P125" s="19" t="e">
        <f>H125*3.5+0.965*#REF!</f>
        <v>#REF!</v>
      </c>
      <c r="Q125" s="19">
        <f t="shared" si="141"/>
        <v>9.97</v>
      </c>
      <c r="R125" s="19">
        <f t="shared" si="142"/>
        <v>10.22</v>
      </c>
    </row>
    <row r="126" spans="2:18" ht="13.5" hidden="1" thickBot="1">
      <c r="B126">
        <v>10</v>
      </c>
      <c r="C126" s="57">
        <v>39995</v>
      </c>
      <c r="D126" s="68">
        <v>1.1986</v>
      </c>
      <c r="E126" s="68">
        <v>0.8422</v>
      </c>
      <c r="F126" s="68">
        <v>1.1334</v>
      </c>
      <c r="G126" s="68">
        <v>0.2912</v>
      </c>
      <c r="H126" s="18">
        <f t="shared" si="134"/>
        <v>1.2508</v>
      </c>
      <c r="I126" s="18">
        <f t="shared" si="135"/>
        <v>1.2438</v>
      </c>
      <c r="J126" s="18">
        <f t="shared" si="136"/>
        <v>1.697</v>
      </c>
      <c r="K126" s="18">
        <f t="shared" si="137"/>
        <v>0.0949</v>
      </c>
      <c r="L126" s="19">
        <f t="shared" si="138"/>
        <v>5.82</v>
      </c>
      <c r="M126" s="18">
        <f t="shared" si="139"/>
        <v>1.2438</v>
      </c>
      <c r="N126" s="18">
        <f t="shared" si="140"/>
        <v>0.6677</v>
      </c>
      <c r="O126" s="19">
        <f t="shared" si="106"/>
        <v>6.01</v>
      </c>
      <c r="P126" s="19" t="e">
        <f>H126*3.5+0.965*#REF!</f>
        <v>#REF!</v>
      </c>
      <c r="Q126" s="19">
        <f t="shared" si="141"/>
        <v>9.97</v>
      </c>
      <c r="R126" s="19">
        <f t="shared" si="142"/>
        <v>10.15</v>
      </c>
    </row>
    <row r="127" spans="2:18" ht="13.5" hidden="1" thickBot="1">
      <c r="B127">
        <v>11</v>
      </c>
      <c r="C127" s="57">
        <v>40026</v>
      </c>
      <c r="D127" s="68">
        <v>1.203</v>
      </c>
      <c r="E127" s="68">
        <v>0.8666</v>
      </c>
      <c r="F127" s="68">
        <v>1.2605</v>
      </c>
      <c r="G127" s="68">
        <v>0.2925</v>
      </c>
      <c r="H127" s="18">
        <f t="shared" si="134"/>
        <v>1.2561</v>
      </c>
      <c r="I127" s="18">
        <f t="shared" si="135"/>
        <v>1.2491</v>
      </c>
      <c r="J127" s="18">
        <f t="shared" si="136"/>
        <v>2.1009</v>
      </c>
      <c r="K127" s="18">
        <f t="shared" si="137"/>
        <v>0.0962</v>
      </c>
      <c r="L127" s="19">
        <f t="shared" si="138"/>
        <v>7.08</v>
      </c>
      <c r="M127" s="18">
        <f t="shared" si="139"/>
        <v>1.2491</v>
      </c>
      <c r="N127" s="18">
        <f t="shared" si="140"/>
        <v>0.6918</v>
      </c>
      <c r="O127" s="19">
        <f t="shared" si="106"/>
        <v>6.23</v>
      </c>
      <c r="P127" s="19" t="e">
        <f>H127*3.5+0.965*#REF!</f>
        <v>#REF!</v>
      </c>
      <c r="Q127" s="19">
        <f t="shared" si="141"/>
        <v>11.2</v>
      </c>
      <c r="R127" s="19">
        <f t="shared" si="142"/>
        <v>10.38</v>
      </c>
    </row>
    <row r="128" spans="2:18" ht="13.5" hidden="1" thickBot="1">
      <c r="B128">
        <v>12</v>
      </c>
      <c r="C128" s="57">
        <v>40057</v>
      </c>
      <c r="D128" s="68">
        <v>1.1811</v>
      </c>
      <c r="E128" s="68">
        <v>0.9664</v>
      </c>
      <c r="F128" s="68">
        <v>1.3522</v>
      </c>
      <c r="G128" s="68">
        <v>0.2979</v>
      </c>
      <c r="H128" s="18">
        <f t="shared" si="134"/>
        <v>1.2296</v>
      </c>
      <c r="I128" s="18">
        <f t="shared" si="135"/>
        <v>1.2226</v>
      </c>
      <c r="J128" s="18">
        <f t="shared" si="136"/>
        <v>2.4243</v>
      </c>
      <c r="K128" s="18">
        <f t="shared" si="137"/>
        <v>0.1018</v>
      </c>
      <c r="L128" s="19">
        <f t="shared" si="138"/>
        <v>8.12</v>
      </c>
      <c r="M128" s="18">
        <f t="shared" si="139"/>
        <v>1.2226</v>
      </c>
      <c r="N128" s="18">
        <f t="shared" si="140"/>
        <v>0.7906</v>
      </c>
      <c r="O128" s="19">
        <f t="shared" si="106"/>
        <v>7.12</v>
      </c>
      <c r="P128" s="19" t="e">
        <f>H128*3.5+0.965*#REF!</f>
        <v>#REF!</v>
      </c>
      <c r="Q128" s="19">
        <f t="shared" si="141"/>
        <v>12.11</v>
      </c>
      <c r="R128" s="19">
        <f t="shared" si="142"/>
        <v>11.15</v>
      </c>
    </row>
    <row r="129" spans="2:18" ht="13.5" hidden="1" thickBot="1">
      <c r="B129">
        <v>13</v>
      </c>
      <c r="C129" s="57">
        <v>40087</v>
      </c>
      <c r="D129" s="68">
        <v>1.2245</v>
      </c>
      <c r="E129" s="68">
        <v>1.027</v>
      </c>
      <c r="F129" s="68">
        <v>1.411</v>
      </c>
      <c r="G129" s="68">
        <v>0.3183</v>
      </c>
      <c r="H129" s="18">
        <f>ROUND(M129+0.007,4)</f>
        <v>1.2822</v>
      </c>
      <c r="I129" s="18">
        <f>ROUND((D129-0.1715)*1.211,4)</f>
        <v>1.2752</v>
      </c>
      <c r="J129" s="18">
        <f>ROUND(((F129-0.2003)*1.383+(((F129-0.2003)*1.572)-I129*0.9)*1.17),4)</f>
        <v>2.5584</v>
      </c>
      <c r="K129" s="18">
        <f>ROUND((G129-0.1991)*1.03,4)</f>
        <v>0.1228</v>
      </c>
      <c r="L129" s="19">
        <f>ROUND((J129*3.1+K129*5.9),2)</f>
        <v>8.66</v>
      </c>
      <c r="M129" s="18">
        <f>I129</f>
        <v>1.2752</v>
      </c>
      <c r="N129" s="18">
        <f>ROUND((E129-0.1678)*0.99,4)</f>
        <v>0.8506</v>
      </c>
      <c r="O129" s="19">
        <f t="shared" si="106"/>
        <v>7.66</v>
      </c>
      <c r="P129" s="19" t="e">
        <f>H129*3.5+0.965*#REF!</f>
        <v>#REF!</v>
      </c>
      <c r="Q129" s="19">
        <f>ROUND(L129*0.965+I129*3.5,2)</f>
        <v>12.82</v>
      </c>
      <c r="R129" s="19">
        <f>ROUND(O129*0.965+M129*3.5,2)</f>
        <v>11.86</v>
      </c>
    </row>
    <row r="130" spans="2:18" ht="13.5" hidden="1" thickBot="1">
      <c r="B130">
        <v>14</v>
      </c>
      <c r="C130" s="57">
        <v>40118</v>
      </c>
      <c r="D130" s="68">
        <v>1.3817</v>
      </c>
      <c r="E130" s="68">
        <v>1.112</v>
      </c>
      <c r="F130" s="68">
        <v>1.5169</v>
      </c>
      <c r="G130" s="68">
        <v>0.3471</v>
      </c>
      <c r="H130" s="18">
        <f>ROUND(M130+0.007,4)</f>
        <v>1.4726</v>
      </c>
      <c r="I130" s="18">
        <f>ROUND((D130-0.1715)*1.211,4)</f>
        <v>1.4656</v>
      </c>
      <c r="J130" s="18">
        <f>ROUND(((F130-0.2003)*1.383+(((F130-0.2003)*1.572)-I130*0.9)*1.17),4)</f>
        <v>2.6991</v>
      </c>
      <c r="K130" s="18">
        <f>ROUND((G130-0.1991)*1.03,4)</f>
        <v>0.1524</v>
      </c>
      <c r="L130" s="19">
        <f>ROUND((J130*3.1+K130*5.9),2)</f>
        <v>9.27</v>
      </c>
      <c r="M130" s="18">
        <f>I130</f>
        <v>1.4656</v>
      </c>
      <c r="N130" s="18">
        <f>ROUND((E130-0.1678)*0.99,4)</f>
        <v>0.9348</v>
      </c>
      <c r="O130" s="19">
        <f t="shared" si="106"/>
        <v>8.41</v>
      </c>
      <c r="P130" s="19" t="e">
        <f>H130*3.5+0.965*#REF!</f>
        <v>#REF!</v>
      </c>
      <c r="Q130" s="19">
        <f>ROUND(L130*0.965+I130*3.5,2)</f>
        <v>14.08</v>
      </c>
      <c r="R130" s="19">
        <f>ROUND(O130*0.965+M130*3.5,2)</f>
        <v>13.25</v>
      </c>
    </row>
    <row r="131" spans="2:18" ht="13.5" hidden="1" thickBot="1">
      <c r="B131">
        <v>15</v>
      </c>
      <c r="C131" s="57">
        <v>40148</v>
      </c>
      <c r="D131" s="68">
        <v>1.4459</v>
      </c>
      <c r="E131" s="68">
        <v>1.2858</v>
      </c>
      <c r="F131" s="68">
        <v>1.5969</v>
      </c>
      <c r="G131" s="68">
        <v>0.3668</v>
      </c>
      <c r="H131" s="18">
        <f>ROUND(M131+0.007,4)</f>
        <v>1.5503</v>
      </c>
      <c r="I131" s="18">
        <f>ROUND((D131-0.1715)*1.211,4)</f>
        <v>1.5433</v>
      </c>
      <c r="J131" s="18">
        <f>ROUND(((F131-0.2003)*1.383+(((F131-0.2003)*1.572)-I131*0.9)*1.17),4)</f>
        <v>2.8751</v>
      </c>
      <c r="K131" s="18">
        <f>ROUND((G131-0.1991)*1.03,4)</f>
        <v>0.1727</v>
      </c>
      <c r="L131" s="19">
        <f>ROUND((J131*3.1+K131*5.9),2)</f>
        <v>9.93</v>
      </c>
      <c r="M131" s="18">
        <f>I131</f>
        <v>1.5433</v>
      </c>
      <c r="N131" s="18">
        <f>ROUND((E131-0.1678)*0.99,4)</f>
        <v>1.1068</v>
      </c>
      <c r="O131" s="19">
        <f t="shared" si="106"/>
        <v>9.96</v>
      </c>
      <c r="P131" s="19" t="e">
        <f>H131*3.5+0.965*#REF!</f>
        <v>#REF!</v>
      </c>
      <c r="Q131" s="19">
        <f>ROUND(L131*0.965+I131*3.5,2)</f>
        <v>14.98</v>
      </c>
      <c r="R131" s="19">
        <f>ROUND(O131*0.965+M131*3.5,2)</f>
        <v>15.01</v>
      </c>
    </row>
    <row r="132" spans="2:18" ht="13.5" hidden="1" thickBot="1">
      <c r="B132">
        <v>16</v>
      </c>
      <c r="C132" s="57">
        <v>40179</v>
      </c>
      <c r="D132" s="68">
        <v>1.361</v>
      </c>
      <c r="E132" s="68">
        <v>1.1929</v>
      </c>
      <c r="F132" s="68">
        <v>1.5374</v>
      </c>
      <c r="G132" s="68">
        <v>0.388</v>
      </c>
      <c r="H132" s="18">
        <f>ROUND(M132+0.007,4)</f>
        <v>1.4475</v>
      </c>
      <c r="I132" s="18">
        <f>ROUND((D132-0.1715)*1.211,4)</f>
        <v>1.4405</v>
      </c>
      <c r="J132" s="18">
        <f>ROUND(((F132-0.2003)*1.383+(((F132-0.2003)*1.572)-I132*0.9)*1.17),4)</f>
        <v>2.7916</v>
      </c>
      <c r="K132" s="18">
        <f>ROUND((G132-0.1991)*1.03,4)</f>
        <v>0.1946</v>
      </c>
      <c r="L132" s="19">
        <f>ROUND((J132*3.1+K132*5.9),2)</f>
        <v>9.8</v>
      </c>
      <c r="M132" s="18">
        <f>I132</f>
        <v>1.4405</v>
      </c>
      <c r="N132" s="18">
        <f>ROUND((E132-0.1678)*0.99,4)</f>
        <v>1.0148</v>
      </c>
      <c r="O132" s="19">
        <f t="shared" si="106"/>
        <v>9.13</v>
      </c>
      <c r="P132" s="19" t="e">
        <f>H132*3.5+0.965*#REF!</f>
        <v>#REF!</v>
      </c>
      <c r="Q132" s="69">
        <f>ROUND(L132*0.965+I132*3.5,2)</f>
        <v>14.5</v>
      </c>
      <c r="R132" s="19">
        <f>ROUND(O132*0.965+M132*3.5,2)</f>
        <v>13.85</v>
      </c>
    </row>
    <row r="133" ht="12.75" hidden="1"/>
    <row r="134" ht="12.75" hidden="1"/>
    <row r="135" ht="12.75" hidden="1"/>
    <row r="136" spans="2:12" ht="16.5" thickBot="1">
      <c r="B136" s="148" t="s">
        <v>44</v>
      </c>
      <c r="C136" s="149"/>
      <c r="D136" s="149"/>
      <c r="E136" s="149"/>
      <c r="F136" s="149"/>
      <c r="G136" s="149"/>
      <c r="H136" s="149"/>
      <c r="I136" s="149"/>
      <c r="J136" s="149"/>
      <c r="K136" s="149"/>
      <c r="L136" s="150"/>
    </row>
    <row r="137" spans="2:12" ht="12.75">
      <c r="B137" s="79"/>
      <c r="C137" s="98"/>
      <c r="D137" s="80"/>
      <c r="E137" s="198" t="s">
        <v>47</v>
      </c>
      <c r="F137" s="80"/>
      <c r="G137" s="80"/>
      <c r="H137" s="80"/>
      <c r="I137" s="80"/>
      <c r="J137" s="80"/>
      <c r="K137" s="106"/>
      <c r="L137" s="81"/>
    </row>
    <row r="138" spans="2:12" ht="12.75">
      <c r="B138" s="82"/>
      <c r="C138" s="2"/>
      <c r="D138" s="49"/>
      <c r="E138" s="199" t="s">
        <v>48</v>
      </c>
      <c r="F138" s="49"/>
      <c r="G138" s="49"/>
      <c r="H138" s="49"/>
      <c r="I138" s="49"/>
      <c r="J138" s="49"/>
      <c r="K138" s="72"/>
      <c r="L138" s="99"/>
    </row>
    <row r="139" spans="2:12" ht="13.5" thickBot="1">
      <c r="B139" s="101"/>
      <c r="C139" s="102"/>
      <c r="D139" s="103"/>
      <c r="E139" s="200" t="s">
        <v>49</v>
      </c>
      <c r="F139" s="103"/>
      <c r="G139" s="103"/>
      <c r="H139" s="103"/>
      <c r="I139" s="103"/>
      <c r="J139" s="103"/>
      <c r="K139" s="104"/>
      <c r="L139" s="105"/>
    </row>
    <row r="140" spans="2:12" ht="13.5" thickBot="1">
      <c r="B140" s="82"/>
      <c r="C140" s="2"/>
      <c r="D140" s="49"/>
      <c r="E140" s="49"/>
      <c r="F140" s="49"/>
      <c r="G140" s="49"/>
      <c r="H140" s="49"/>
      <c r="I140" s="49"/>
      <c r="J140" s="49"/>
      <c r="K140" s="72"/>
      <c r="L140" s="99"/>
    </row>
    <row r="141" spans="2:12" ht="12.75" customHeight="1">
      <c r="B141" s="82"/>
      <c r="C141" s="2"/>
      <c r="D141" s="139" t="s">
        <v>34</v>
      </c>
      <c r="E141" s="140"/>
      <c r="F141" s="140"/>
      <c r="G141" s="141"/>
      <c r="H141" s="49"/>
      <c r="I141" s="151" t="s">
        <v>40</v>
      </c>
      <c r="J141" s="152"/>
      <c r="K141" s="153"/>
      <c r="L141" s="99"/>
    </row>
    <row r="142" spans="2:12" ht="13.5" thickBot="1">
      <c r="B142" s="82"/>
      <c r="C142" s="2"/>
      <c r="D142" s="73" t="s">
        <v>1</v>
      </c>
      <c r="E142" s="73" t="s">
        <v>2</v>
      </c>
      <c r="F142" s="73" t="s">
        <v>3</v>
      </c>
      <c r="G142" s="73" t="s">
        <v>4</v>
      </c>
      <c r="H142" s="49"/>
      <c r="I142" s="154"/>
      <c r="J142" s="155"/>
      <c r="K142" s="156"/>
      <c r="L142" s="99"/>
    </row>
    <row r="143" spans="2:19" ht="15.75" customHeight="1">
      <c r="B143" s="82"/>
      <c r="C143" s="111">
        <v>16</v>
      </c>
      <c r="D143" s="129">
        <f>VLOOKUP($C$143,$B$117:$G$132,3,FALSE)</f>
        <v>1.361</v>
      </c>
      <c r="E143" s="129">
        <f>VLOOKUP($C$143,$B$117:$G$132,4,FALSE)</f>
        <v>1.1929</v>
      </c>
      <c r="F143" s="129">
        <f>VLOOKUP($C$143,$B$117:$G$132,5,FALSE)</f>
        <v>1.5374</v>
      </c>
      <c r="G143" s="129">
        <f>VLOOKUP($C$143,$B$117:$G$132,6,FALSE)</f>
        <v>0.388</v>
      </c>
      <c r="H143" s="49"/>
      <c r="I143" s="49"/>
      <c r="J143" s="77" t="s">
        <v>45</v>
      </c>
      <c r="K143" s="130" t="s">
        <v>46</v>
      </c>
      <c r="L143" s="99"/>
      <c r="P143" s="1">
        <f>IF(D144="",D143,D144)</f>
        <v>1.361</v>
      </c>
      <c r="Q143" s="1">
        <f>IF(E144="",E143,E144)</f>
        <v>1.1929</v>
      </c>
      <c r="R143" s="1">
        <f>IF(F144="",F143,F144)</f>
        <v>1.5374</v>
      </c>
      <c r="S143" s="1">
        <f>IF(G144="",G143,G144)</f>
        <v>0.388</v>
      </c>
    </row>
    <row r="144" spans="2:12" ht="15.75" customHeight="1">
      <c r="B144" s="82"/>
      <c r="C144" s="100" t="s">
        <v>36</v>
      </c>
      <c r="D144" s="107"/>
      <c r="E144" s="107"/>
      <c r="F144" s="107"/>
      <c r="G144" s="107"/>
      <c r="H144" s="49"/>
      <c r="I144" s="74" t="s">
        <v>0</v>
      </c>
      <c r="J144" s="112">
        <f>Q147</f>
        <v>5.0418</v>
      </c>
      <c r="K144" s="112">
        <f>Q145</f>
        <v>1.4405</v>
      </c>
      <c r="L144" s="99"/>
    </row>
    <row r="145" spans="2:27" ht="12.75">
      <c r="B145" s="82"/>
      <c r="C145" s="2"/>
      <c r="D145" s="49"/>
      <c r="E145" s="49"/>
      <c r="F145" s="49"/>
      <c r="G145" s="49"/>
      <c r="H145" s="49"/>
      <c r="I145" s="74" t="s">
        <v>5</v>
      </c>
      <c r="J145" s="112">
        <f>R147</f>
        <v>8.3511</v>
      </c>
      <c r="K145" s="112">
        <f>R145</f>
        <v>2.7916</v>
      </c>
      <c r="L145" s="99"/>
      <c r="P145" s="18">
        <f>ROUND(U145+0.007,4)</f>
        <v>1.4475</v>
      </c>
      <c r="Q145" s="18">
        <f>ROUND((P143-0.1715)*1.211,4)</f>
        <v>1.4405</v>
      </c>
      <c r="R145" s="18">
        <f>ROUND(((R143-0.2003)*1.383+(((R143-0.2003)*1.572)-Q145*0.9)*1.17),4)</f>
        <v>2.7916</v>
      </c>
      <c r="S145" s="18">
        <f>ROUND((S143-0.1991)*1.03,4)</f>
        <v>0.1946</v>
      </c>
      <c r="T145" s="19">
        <f>ROUND((R145*(D148*100)+S145*(E148*100)),2)</f>
        <v>9.8</v>
      </c>
      <c r="U145" s="18">
        <f>Q145</f>
        <v>1.4405</v>
      </c>
      <c r="V145" s="18">
        <f>ROUND((Q143-0.1678)*0.99,4)</f>
        <v>1.0148</v>
      </c>
      <c r="W145" s="19">
        <f>ROUND(V145*9,2)</f>
        <v>9.13</v>
      </c>
      <c r="X145" s="19"/>
      <c r="Y145" s="69">
        <f>ROUND(T145*(1-F148)+Q145*(F148*100),2)</f>
        <v>14.5</v>
      </c>
      <c r="Z145" s="19">
        <f>ROUND(W145*0.965+U145*3.5,2)</f>
        <v>13.85</v>
      </c>
      <c r="AA145" s="70">
        <f>R143*0.0005</f>
        <v>0.0007687000000000001</v>
      </c>
    </row>
    <row r="146" spans="2:25" ht="12.75">
      <c r="B146" s="82"/>
      <c r="C146" s="2"/>
      <c r="D146" s="139" t="s">
        <v>35</v>
      </c>
      <c r="E146" s="140"/>
      <c r="F146" s="140"/>
      <c r="G146" s="141"/>
      <c r="H146" s="49"/>
      <c r="I146" s="74" t="s">
        <v>6</v>
      </c>
      <c r="J146" s="112">
        <f>S147</f>
        <v>1.1079</v>
      </c>
      <c r="K146" s="112">
        <f>S145</f>
        <v>0.1946</v>
      </c>
      <c r="L146" s="99"/>
      <c r="P146"/>
      <c r="Q146" s="1">
        <f>ROUND(Q145*(F148*100),4)</f>
        <v>5.0418</v>
      </c>
      <c r="R146" s="1">
        <f>ROUND(R145*(D148*100),4)</f>
        <v>8.654</v>
      </c>
      <c r="S146" s="1">
        <f>ROUND(S145*(E148*100),4)</f>
        <v>1.1481</v>
      </c>
      <c r="T146" s="1">
        <f>ROUND(T145*(1-F148),4)</f>
        <v>9.457</v>
      </c>
      <c r="U146" s="1"/>
      <c r="V146" s="1"/>
      <c r="W146" s="5"/>
      <c r="X146" s="1"/>
      <c r="Y146" s="6"/>
    </row>
    <row r="147" spans="2:27" ht="12.75">
      <c r="B147" s="82"/>
      <c r="C147" s="2"/>
      <c r="D147" s="73" t="s">
        <v>28</v>
      </c>
      <c r="E147" s="73" t="s">
        <v>29</v>
      </c>
      <c r="F147" s="73" t="s">
        <v>0</v>
      </c>
      <c r="G147" s="73" t="s">
        <v>33</v>
      </c>
      <c r="H147" s="49"/>
      <c r="I147" s="74" t="s">
        <v>30</v>
      </c>
      <c r="J147" s="112">
        <f>AA147</f>
        <v>0</v>
      </c>
      <c r="K147" s="72"/>
      <c r="L147" s="99"/>
      <c r="P147"/>
      <c r="Q147" s="1">
        <f>Q146</f>
        <v>5.0418</v>
      </c>
      <c r="R147" s="1">
        <f>ROUND(R146*(1-F148),4)</f>
        <v>8.3511</v>
      </c>
      <c r="S147" s="1">
        <f>ROUND(S146*(1-F148),4)</f>
        <v>1.1079</v>
      </c>
      <c r="T147" s="1"/>
      <c r="U147" s="1"/>
      <c r="V147" s="1"/>
      <c r="W147" s="5"/>
      <c r="X147" s="1"/>
      <c r="Y147" s="71">
        <f>AA147+Y145</f>
        <v>14.5</v>
      </c>
      <c r="AA147" s="1">
        <f>(350-G148)*AA145</f>
        <v>0</v>
      </c>
    </row>
    <row r="148" spans="2:12" ht="12.75">
      <c r="B148" s="82"/>
      <c r="C148" s="100" t="s">
        <v>37</v>
      </c>
      <c r="D148" s="108">
        <v>0.031</v>
      </c>
      <c r="E148" s="108">
        <v>0.059</v>
      </c>
      <c r="F148" s="108">
        <v>0.035</v>
      </c>
      <c r="G148" s="109">
        <v>350</v>
      </c>
      <c r="H148" s="49"/>
      <c r="I148" s="74" t="s">
        <v>31</v>
      </c>
      <c r="J148" s="113">
        <f>ROUND(SUM(J144:J147),2)</f>
        <v>14.5</v>
      </c>
      <c r="K148" s="72"/>
      <c r="L148" s="99"/>
    </row>
    <row r="149" spans="2:12" ht="13.5" thickBot="1">
      <c r="B149" s="82"/>
      <c r="C149" s="2"/>
      <c r="D149" s="49"/>
      <c r="E149" s="49"/>
      <c r="F149" s="49"/>
      <c r="G149" s="49"/>
      <c r="H149" s="49"/>
      <c r="I149" s="49"/>
      <c r="J149" s="114"/>
      <c r="K149" s="72"/>
      <c r="L149" s="99"/>
    </row>
    <row r="150" spans="2:12" ht="13.5" thickBot="1">
      <c r="B150" s="82"/>
      <c r="C150" s="2"/>
      <c r="D150" s="75" t="s">
        <v>41</v>
      </c>
      <c r="E150" s="49"/>
      <c r="F150" s="49"/>
      <c r="G150" s="49"/>
      <c r="H150" s="49"/>
      <c r="I150" s="49"/>
      <c r="J150" s="49"/>
      <c r="K150" s="72"/>
      <c r="L150" s="99"/>
    </row>
    <row r="151" spans="2:12" ht="12.75">
      <c r="B151" s="82"/>
      <c r="C151" s="2"/>
      <c r="D151" s="77" t="s">
        <v>39</v>
      </c>
      <c r="E151" s="49"/>
      <c r="F151" s="49"/>
      <c r="G151" s="49"/>
      <c r="H151" s="49"/>
      <c r="I151" s="49"/>
      <c r="J151" s="49"/>
      <c r="K151" s="72"/>
      <c r="L151" s="99"/>
    </row>
    <row r="152" spans="2:12" ht="12.75">
      <c r="B152" s="82"/>
      <c r="C152" s="100" t="s">
        <v>38</v>
      </c>
      <c r="D152" s="110">
        <v>1000</v>
      </c>
      <c r="E152" s="49"/>
      <c r="F152" s="49"/>
      <c r="G152" s="49"/>
      <c r="H152" s="49"/>
      <c r="I152" s="49"/>
      <c r="J152" s="49"/>
      <c r="K152" s="72"/>
      <c r="L152" s="99"/>
    </row>
    <row r="153" spans="2:12" ht="13.5" thickBot="1">
      <c r="B153" s="82"/>
      <c r="C153" s="2"/>
      <c r="D153" s="49"/>
      <c r="E153" s="49"/>
      <c r="F153" s="49"/>
      <c r="G153" s="49"/>
      <c r="H153" s="49"/>
      <c r="I153" s="49"/>
      <c r="J153" s="49"/>
      <c r="K153" s="72"/>
      <c r="L153" s="99"/>
    </row>
    <row r="154" spans="2:12" ht="13.5" thickBot="1">
      <c r="B154" s="82"/>
      <c r="C154" s="2"/>
      <c r="D154" s="145" t="s">
        <v>42</v>
      </c>
      <c r="E154" s="146"/>
      <c r="F154" s="146"/>
      <c r="G154" s="146"/>
      <c r="H154" s="146"/>
      <c r="I154" s="146"/>
      <c r="J154" s="146"/>
      <c r="K154" s="147"/>
      <c r="L154" s="99"/>
    </row>
    <row r="155" spans="2:12" ht="12.75">
      <c r="B155" s="82"/>
      <c r="C155" s="2"/>
      <c r="D155" s="79"/>
      <c r="E155" s="80"/>
      <c r="F155" s="80"/>
      <c r="G155" s="80"/>
      <c r="H155" s="80"/>
      <c r="I155" s="80"/>
      <c r="J155" s="80"/>
      <c r="K155" s="81"/>
      <c r="L155" s="99"/>
    </row>
    <row r="156" spans="2:12" ht="13.5" thickBot="1">
      <c r="B156" s="82"/>
      <c r="C156" s="2"/>
      <c r="D156" s="82"/>
      <c r="E156" s="49"/>
      <c r="F156" s="49"/>
      <c r="G156" s="142" t="s">
        <v>33</v>
      </c>
      <c r="H156" s="142"/>
      <c r="I156" s="143"/>
      <c r="J156" s="142"/>
      <c r="K156" s="144"/>
      <c r="L156" s="99"/>
    </row>
    <row r="157" spans="2:12" ht="13.5" thickBot="1">
      <c r="B157" s="82"/>
      <c r="C157" s="2"/>
      <c r="D157" s="87" t="s">
        <v>32</v>
      </c>
      <c r="E157" s="88" t="s">
        <v>28</v>
      </c>
      <c r="F157" s="89" t="s">
        <v>29</v>
      </c>
      <c r="G157" s="94">
        <v>550</v>
      </c>
      <c r="H157" s="95">
        <v>450</v>
      </c>
      <c r="I157" s="134">
        <v>350</v>
      </c>
      <c r="J157" s="96">
        <v>250</v>
      </c>
      <c r="K157" s="97">
        <v>150</v>
      </c>
      <c r="L157" s="99"/>
    </row>
    <row r="158" spans="2:12" ht="12.75">
      <c r="B158" s="82"/>
      <c r="C158" s="2"/>
      <c r="D158" s="83">
        <f>$F$148-0.5%</f>
        <v>0.030000000000000002</v>
      </c>
      <c r="E158" s="78">
        <f>$D$148-0.5%</f>
        <v>0.026</v>
      </c>
      <c r="F158" s="90">
        <f>$E$148-0.5%</f>
        <v>0.054</v>
      </c>
      <c r="G158" s="115">
        <f aca="true" t="shared" si="143" ref="G158:K160">($Q$145*($D158*100)+$R$145*($E158*100)*(1-$D158)+$S$145*($F158*100)*(1-$D158)+(350-G$157)*$AA$145)*$D$152</f>
        <v>12227.49</v>
      </c>
      <c r="H158" s="116">
        <f t="shared" si="143"/>
        <v>12304.36</v>
      </c>
      <c r="I158" s="116">
        <f t="shared" si="143"/>
        <v>12381.23</v>
      </c>
      <c r="J158" s="116">
        <f t="shared" si="143"/>
        <v>12458.1</v>
      </c>
      <c r="K158" s="117">
        <f t="shared" si="143"/>
        <v>12534.970000000001</v>
      </c>
      <c r="L158" s="99"/>
    </row>
    <row r="159" spans="2:12" ht="12.75">
      <c r="B159" s="82"/>
      <c r="C159" s="2"/>
      <c r="D159" s="83">
        <f>D158</f>
        <v>0.030000000000000002</v>
      </c>
      <c r="E159" s="78">
        <f>E158</f>
        <v>0.026</v>
      </c>
      <c r="F159" s="91">
        <f>$E$148</f>
        <v>0.059</v>
      </c>
      <c r="G159" s="118">
        <f t="shared" si="143"/>
        <v>12321.871</v>
      </c>
      <c r="H159" s="119">
        <f t="shared" si="143"/>
        <v>12398.741000000002</v>
      </c>
      <c r="I159" s="119">
        <f t="shared" si="143"/>
        <v>12475.611</v>
      </c>
      <c r="J159" s="119">
        <f t="shared" si="143"/>
        <v>12552.481</v>
      </c>
      <c r="K159" s="120">
        <f t="shared" si="143"/>
        <v>12629.351000000002</v>
      </c>
      <c r="L159" s="99"/>
    </row>
    <row r="160" spans="2:12" ht="12.75">
      <c r="B160" s="82"/>
      <c r="C160" s="2"/>
      <c r="D160" s="83">
        <f>D159</f>
        <v>0.030000000000000002</v>
      </c>
      <c r="E160" s="78">
        <f>E159</f>
        <v>0.026</v>
      </c>
      <c r="F160" s="91">
        <f>$E$148+0.5%</f>
        <v>0.064</v>
      </c>
      <c r="G160" s="118">
        <f t="shared" si="143"/>
        <v>12416.252</v>
      </c>
      <c r="H160" s="119">
        <f t="shared" si="143"/>
        <v>12493.122000000001</v>
      </c>
      <c r="I160" s="119">
        <f t="shared" si="143"/>
        <v>12569.992</v>
      </c>
      <c r="J160" s="119">
        <f t="shared" si="143"/>
        <v>12646.862000000001</v>
      </c>
      <c r="K160" s="120">
        <f t="shared" si="143"/>
        <v>12723.732000000002</v>
      </c>
      <c r="L160" s="99"/>
    </row>
    <row r="161" spans="2:12" ht="12.75">
      <c r="B161" s="82"/>
      <c r="C161" s="2"/>
      <c r="D161" s="83"/>
      <c r="E161" s="78"/>
      <c r="F161" s="91"/>
      <c r="G161" s="121"/>
      <c r="H161" s="121"/>
      <c r="I161" s="121"/>
      <c r="J161" s="121"/>
      <c r="K161" s="122"/>
      <c r="L161" s="99"/>
    </row>
    <row r="162" spans="2:12" ht="12.75">
      <c r="B162" s="82"/>
      <c r="C162" s="2"/>
      <c r="D162" s="83">
        <f>$F$148-0.5%</f>
        <v>0.030000000000000002</v>
      </c>
      <c r="E162" s="78">
        <f>$D$148</f>
        <v>0.031</v>
      </c>
      <c r="F162" s="91">
        <f>$E$148-0.5%</f>
        <v>0.054</v>
      </c>
      <c r="G162" s="118">
        <f aca="true" t="shared" si="144" ref="G162:K164">($Q$145*($D162*100)+$R$145*($E162*100)*(1-$D162)+$S$145*($F162*100)*(1-$D162)+(350-G$157)*$AA$145)*$D$152</f>
        <v>13581.416</v>
      </c>
      <c r="H162" s="119">
        <f t="shared" si="144"/>
        <v>13658.286</v>
      </c>
      <c r="I162" s="119">
        <f t="shared" si="144"/>
        <v>13735.155999999999</v>
      </c>
      <c r="J162" s="119">
        <f t="shared" si="144"/>
        <v>13812.026</v>
      </c>
      <c r="K162" s="120">
        <f t="shared" si="144"/>
        <v>13888.896</v>
      </c>
      <c r="L162" s="99"/>
    </row>
    <row r="163" spans="2:12" ht="12.75">
      <c r="B163" s="82"/>
      <c r="C163" s="2"/>
      <c r="D163" s="83">
        <f>D162</f>
        <v>0.030000000000000002</v>
      </c>
      <c r="E163" s="78">
        <f>E162</f>
        <v>0.031</v>
      </c>
      <c r="F163" s="91">
        <f>$E$148</f>
        <v>0.059</v>
      </c>
      <c r="G163" s="118">
        <f t="shared" si="144"/>
        <v>13675.796999999999</v>
      </c>
      <c r="H163" s="119">
        <f t="shared" si="144"/>
        <v>13752.667000000001</v>
      </c>
      <c r="I163" s="119">
        <f t="shared" si="144"/>
        <v>13829.537</v>
      </c>
      <c r="J163" s="119">
        <f t="shared" si="144"/>
        <v>13906.407</v>
      </c>
      <c r="K163" s="120">
        <f t="shared" si="144"/>
        <v>13983.277000000002</v>
      </c>
      <c r="L163" s="99"/>
    </row>
    <row r="164" spans="2:12" ht="12.75">
      <c r="B164" s="82"/>
      <c r="C164" s="2"/>
      <c r="D164" s="83">
        <f>D163</f>
        <v>0.030000000000000002</v>
      </c>
      <c r="E164" s="78">
        <f>E163</f>
        <v>0.031</v>
      </c>
      <c r="F164" s="91">
        <f>$E$148+0.5%</f>
        <v>0.064</v>
      </c>
      <c r="G164" s="118">
        <f t="shared" si="144"/>
        <v>13770.178</v>
      </c>
      <c r="H164" s="119">
        <f t="shared" si="144"/>
        <v>13847.048</v>
      </c>
      <c r="I164" s="119">
        <f t="shared" si="144"/>
        <v>13923.918</v>
      </c>
      <c r="J164" s="119">
        <f t="shared" si="144"/>
        <v>14000.788</v>
      </c>
      <c r="K164" s="120">
        <f t="shared" si="144"/>
        <v>14077.658000000001</v>
      </c>
      <c r="L164" s="99"/>
    </row>
    <row r="165" spans="2:14" ht="12.75">
      <c r="B165" s="82"/>
      <c r="C165" s="2"/>
      <c r="D165" s="83"/>
      <c r="E165" s="78"/>
      <c r="F165" s="91"/>
      <c r="G165" s="121"/>
      <c r="H165" s="121"/>
      <c r="I165" s="121"/>
      <c r="J165" s="121"/>
      <c r="K165" s="122"/>
      <c r="L165" s="99"/>
      <c r="N165" s="135"/>
    </row>
    <row r="166" spans="2:12" ht="12.75">
      <c r="B166" s="82"/>
      <c r="C166" s="2"/>
      <c r="D166" s="83">
        <f>$F$148-0.5%</f>
        <v>0.030000000000000002</v>
      </c>
      <c r="E166" s="78">
        <f>$D$148+0.5%</f>
        <v>0.036</v>
      </c>
      <c r="F166" s="91">
        <f>$E$148-0.5%</f>
        <v>0.054</v>
      </c>
      <c r="G166" s="118">
        <f aca="true" t="shared" si="145" ref="G166:K168">($Q$145*($D166*100)+$R$145*($E166*100)*(1-$D166)+$S$145*($F166*100)*(1-$D166)+(350-G$157)*$AA$145)*$D$152</f>
        <v>14935.341999999999</v>
      </c>
      <c r="H166" s="119">
        <f t="shared" si="145"/>
        <v>15012.212</v>
      </c>
      <c r="I166" s="119">
        <f t="shared" si="145"/>
        <v>15089.082</v>
      </c>
      <c r="J166" s="119">
        <f t="shared" si="145"/>
        <v>15165.952</v>
      </c>
      <c r="K166" s="120">
        <f t="shared" si="145"/>
        <v>15242.822</v>
      </c>
      <c r="L166" s="99"/>
    </row>
    <row r="167" spans="2:12" ht="12.75">
      <c r="B167" s="82"/>
      <c r="C167" s="2"/>
      <c r="D167" s="83">
        <f>D166</f>
        <v>0.030000000000000002</v>
      </c>
      <c r="E167" s="78">
        <f>E166</f>
        <v>0.036</v>
      </c>
      <c r="F167" s="91">
        <f>$E$148</f>
        <v>0.059</v>
      </c>
      <c r="G167" s="118">
        <f t="shared" si="145"/>
        <v>15029.722999999998</v>
      </c>
      <c r="H167" s="119">
        <f t="shared" si="145"/>
        <v>15106.593</v>
      </c>
      <c r="I167" s="119">
        <f t="shared" si="145"/>
        <v>15183.463</v>
      </c>
      <c r="J167" s="119">
        <f t="shared" si="145"/>
        <v>15260.332999999999</v>
      </c>
      <c r="K167" s="120">
        <f t="shared" si="145"/>
        <v>15337.203000000001</v>
      </c>
      <c r="L167" s="99"/>
    </row>
    <row r="168" spans="2:12" ht="12.75">
      <c r="B168" s="82"/>
      <c r="C168" s="2"/>
      <c r="D168" s="83">
        <f>D167</f>
        <v>0.030000000000000002</v>
      </c>
      <c r="E168" s="78">
        <f>E167</f>
        <v>0.036</v>
      </c>
      <c r="F168" s="91">
        <f>$E$148+0.5%</f>
        <v>0.064</v>
      </c>
      <c r="G168" s="118">
        <f t="shared" si="145"/>
        <v>15124.104</v>
      </c>
      <c r="H168" s="119">
        <f t="shared" si="145"/>
        <v>15200.974</v>
      </c>
      <c r="I168" s="119">
        <f t="shared" si="145"/>
        <v>15277.844</v>
      </c>
      <c r="J168" s="119">
        <f t="shared" si="145"/>
        <v>15354.714</v>
      </c>
      <c r="K168" s="120">
        <f t="shared" si="145"/>
        <v>15431.584</v>
      </c>
      <c r="L168" s="99"/>
    </row>
    <row r="169" spans="2:16" ht="12.75">
      <c r="B169" s="82"/>
      <c r="C169" s="2"/>
      <c r="D169" s="84"/>
      <c r="E169" s="76"/>
      <c r="F169" s="92"/>
      <c r="G169" s="121"/>
      <c r="H169" s="121"/>
      <c r="I169" s="121"/>
      <c r="J169" s="121"/>
      <c r="K169" s="122"/>
      <c r="L169" s="99"/>
      <c r="P169" s="72"/>
    </row>
    <row r="170" spans="2:16" ht="12.75">
      <c r="B170" s="82"/>
      <c r="C170" s="2"/>
      <c r="D170" s="83">
        <f>$F$148</f>
        <v>0.035</v>
      </c>
      <c r="E170" s="78">
        <f>$D$148-0.5%</f>
        <v>0.026</v>
      </c>
      <c r="F170" s="91">
        <f>$E$148-0.5%</f>
        <v>0.054</v>
      </c>
      <c r="G170" s="118">
        <f aca="true" t="shared" si="146" ref="G170:K172">($Q$145*($D170*100)+$R$145*($E170*100)*(1-$D170)+$S$145*($F170*100)*(1-$D170)+(350-G$157)*$AA$145)*$D$152</f>
        <v>12906.195</v>
      </c>
      <c r="H170" s="119">
        <f t="shared" si="146"/>
        <v>12983.065000000002</v>
      </c>
      <c r="I170" s="119">
        <f t="shared" si="146"/>
        <v>13059.935000000001</v>
      </c>
      <c r="J170" s="119">
        <f t="shared" si="146"/>
        <v>13136.805</v>
      </c>
      <c r="K170" s="120">
        <f t="shared" si="146"/>
        <v>13213.675000000003</v>
      </c>
      <c r="L170" s="99"/>
      <c r="P170" s="72"/>
    </row>
    <row r="171" spans="2:16" ht="12.75">
      <c r="B171" s="82"/>
      <c r="C171" s="2"/>
      <c r="D171" s="83">
        <f>D170</f>
        <v>0.035</v>
      </c>
      <c r="E171" s="78">
        <f>E170</f>
        <v>0.026</v>
      </c>
      <c r="F171" s="91">
        <f>$E$148</f>
        <v>0.059</v>
      </c>
      <c r="G171" s="118">
        <f t="shared" si="146"/>
        <v>13000.0895</v>
      </c>
      <c r="H171" s="119">
        <f t="shared" si="146"/>
        <v>13076.9595</v>
      </c>
      <c r="I171" s="119">
        <f t="shared" si="146"/>
        <v>13153.8295</v>
      </c>
      <c r="J171" s="119">
        <f t="shared" si="146"/>
        <v>13230.6995</v>
      </c>
      <c r="K171" s="120">
        <f t="shared" si="146"/>
        <v>13307.569500000001</v>
      </c>
      <c r="L171" s="99"/>
      <c r="P171" s="72"/>
    </row>
    <row r="172" spans="2:16" ht="12.75">
      <c r="B172" s="82"/>
      <c r="C172" s="2"/>
      <c r="D172" s="83">
        <f>D171</f>
        <v>0.035</v>
      </c>
      <c r="E172" s="78">
        <f>E171</f>
        <v>0.026</v>
      </c>
      <c r="F172" s="91">
        <f>$E$148+0.5%</f>
        <v>0.064</v>
      </c>
      <c r="G172" s="118">
        <f t="shared" si="146"/>
        <v>13093.984</v>
      </c>
      <c r="H172" s="119">
        <f t="shared" si="146"/>
        <v>13170.854000000001</v>
      </c>
      <c r="I172" s="119">
        <f t="shared" si="146"/>
        <v>13247.724000000002</v>
      </c>
      <c r="J172" s="119">
        <f t="shared" si="146"/>
        <v>13324.594000000001</v>
      </c>
      <c r="K172" s="120">
        <f t="shared" si="146"/>
        <v>13401.464000000002</v>
      </c>
      <c r="L172" s="99"/>
      <c r="P172" s="72"/>
    </row>
    <row r="173" spans="2:16" ht="12.75">
      <c r="B173" s="82"/>
      <c r="C173" s="2"/>
      <c r="D173" s="83"/>
      <c r="E173" s="78"/>
      <c r="F173" s="91"/>
      <c r="G173" s="121"/>
      <c r="H173" s="121"/>
      <c r="I173" s="121"/>
      <c r="J173" s="121"/>
      <c r="K173" s="122"/>
      <c r="L173" s="99"/>
      <c r="P173" s="72"/>
    </row>
    <row r="174" spans="2:16" ht="13.5" thickBot="1">
      <c r="B174" s="82"/>
      <c r="C174" s="2"/>
      <c r="D174" s="83">
        <f>$F$148</f>
        <v>0.035</v>
      </c>
      <c r="E174" s="78">
        <f>$D$148</f>
        <v>0.031</v>
      </c>
      <c r="F174" s="91">
        <f>$E$148-0.5%</f>
        <v>0.054</v>
      </c>
      <c r="G174" s="118">
        <f aca="true" t="shared" si="147" ref="G174:K176">($Q$145*($D174*100)+$R$145*($E174*100)*(1-$D174)+$S$145*($F174*100)*(1-$D174)+(350-G$157)*$AA$145)*$D$152</f>
        <v>14253.141999999998</v>
      </c>
      <c r="H174" s="119">
        <f t="shared" si="147"/>
        <v>14330.012</v>
      </c>
      <c r="I174" s="123">
        <f t="shared" si="147"/>
        <v>14406.882</v>
      </c>
      <c r="J174" s="119">
        <f t="shared" si="147"/>
        <v>14483.751999999999</v>
      </c>
      <c r="K174" s="120">
        <f t="shared" si="147"/>
        <v>14560.622000000001</v>
      </c>
      <c r="L174" s="99"/>
      <c r="P174" s="72"/>
    </row>
    <row r="175" spans="2:16" ht="13.5" thickBot="1">
      <c r="B175" s="82"/>
      <c r="C175" s="2"/>
      <c r="D175" s="131">
        <f>D174</f>
        <v>0.035</v>
      </c>
      <c r="E175" s="132">
        <f>E174</f>
        <v>0.031</v>
      </c>
      <c r="F175" s="133">
        <f>$E$148</f>
        <v>0.059</v>
      </c>
      <c r="G175" s="118">
        <f t="shared" si="147"/>
        <v>14347.036499999998</v>
      </c>
      <c r="H175" s="124">
        <f t="shared" si="147"/>
        <v>14423.9065</v>
      </c>
      <c r="I175" s="125">
        <f t="shared" si="147"/>
        <v>14500.776499999998</v>
      </c>
      <c r="J175" s="118">
        <f t="shared" si="147"/>
        <v>14577.646499999999</v>
      </c>
      <c r="K175" s="120">
        <f t="shared" si="147"/>
        <v>14654.5165</v>
      </c>
      <c r="L175" s="99"/>
      <c r="P175" s="72"/>
    </row>
    <row r="176" spans="2:16" ht="12.75">
      <c r="B176" s="82"/>
      <c r="C176" s="2"/>
      <c r="D176" s="83">
        <f>D175</f>
        <v>0.035</v>
      </c>
      <c r="E176" s="78">
        <f>E175</f>
        <v>0.031</v>
      </c>
      <c r="F176" s="91">
        <f>$E$148+0.5%</f>
        <v>0.064</v>
      </c>
      <c r="G176" s="118">
        <f t="shared" si="147"/>
        <v>14440.930999999997</v>
      </c>
      <c r="H176" s="119">
        <f t="shared" si="147"/>
        <v>14517.801</v>
      </c>
      <c r="I176" s="116">
        <f t="shared" si="147"/>
        <v>14594.670999999998</v>
      </c>
      <c r="J176" s="119">
        <f t="shared" si="147"/>
        <v>14671.540999999997</v>
      </c>
      <c r="K176" s="120">
        <f t="shared" si="147"/>
        <v>14748.410999999998</v>
      </c>
      <c r="L176" s="99"/>
      <c r="P176" s="72"/>
    </row>
    <row r="177" spans="2:16" ht="12.75">
      <c r="B177" s="82"/>
      <c r="C177" s="2"/>
      <c r="D177" s="83"/>
      <c r="E177" s="78"/>
      <c r="F177" s="91"/>
      <c r="G177" s="121"/>
      <c r="H177" s="121"/>
      <c r="I177" s="121"/>
      <c r="J177" s="121"/>
      <c r="K177" s="122"/>
      <c r="L177" s="99"/>
      <c r="P177" s="72"/>
    </row>
    <row r="178" spans="2:16" ht="12.75">
      <c r="B178" s="82"/>
      <c r="C178" s="2"/>
      <c r="D178" s="83">
        <f>$F$148</f>
        <v>0.035</v>
      </c>
      <c r="E178" s="78">
        <f>$D$148+0.5%</f>
        <v>0.036</v>
      </c>
      <c r="F178" s="91">
        <f>$E$148-0.5%</f>
        <v>0.054</v>
      </c>
      <c r="G178" s="118">
        <f aca="true" t="shared" si="148" ref="G178:K180">($Q$145*($D178*100)+$R$145*($E178*100)*(1-$D178)+$S$145*($F178*100)*(1-$D178)+(350-G$157)*$AA$145)*$D$152</f>
        <v>15600.088999999998</v>
      </c>
      <c r="H178" s="119">
        <f t="shared" si="148"/>
        <v>15676.959</v>
      </c>
      <c r="I178" s="119">
        <f t="shared" si="148"/>
        <v>15753.829</v>
      </c>
      <c r="J178" s="119">
        <f t="shared" si="148"/>
        <v>15830.698999999999</v>
      </c>
      <c r="K178" s="120">
        <f t="shared" si="148"/>
        <v>15907.569000000001</v>
      </c>
      <c r="L178" s="99"/>
      <c r="P178" s="72"/>
    </row>
    <row r="179" spans="2:16" ht="12.75">
      <c r="B179" s="82"/>
      <c r="C179" s="2"/>
      <c r="D179" s="83">
        <f>D178</f>
        <v>0.035</v>
      </c>
      <c r="E179" s="78">
        <f>E178</f>
        <v>0.036</v>
      </c>
      <c r="F179" s="91">
        <f>$E$148</f>
        <v>0.059</v>
      </c>
      <c r="G179" s="118">
        <f t="shared" si="148"/>
        <v>15693.983499999998</v>
      </c>
      <c r="H179" s="119">
        <f t="shared" si="148"/>
        <v>15770.8535</v>
      </c>
      <c r="I179" s="119">
        <f t="shared" si="148"/>
        <v>15847.723499999998</v>
      </c>
      <c r="J179" s="119">
        <f t="shared" si="148"/>
        <v>15924.593499999999</v>
      </c>
      <c r="K179" s="120">
        <f t="shared" si="148"/>
        <v>16001.4635</v>
      </c>
      <c r="L179" s="99"/>
      <c r="P179" s="72"/>
    </row>
    <row r="180" spans="2:16" ht="12.75">
      <c r="B180" s="82"/>
      <c r="C180" s="2"/>
      <c r="D180" s="83">
        <f>D179</f>
        <v>0.035</v>
      </c>
      <c r="E180" s="78">
        <f>E179</f>
        <v>0.036</v>
      </c>
      <c r="F180" s="91">
        <f>$E$148+0.5%</f>
        <v>0.064</v>
      </c>
      <c r="G180" s="118">
        <f t="shared" si="148"/>
        <v>15787.877999999997</v>
      </c>
      <c r="H180" s="119">
        <f t="shared" si="148"/>
        <v>15864.748</v>
      </c>
      <c r="I180" s="119">
        <f t="shared" si="148"/>
        <v>15941.617999999999</v>
      </c>
      <c r="J180" s="119">
        <f t="shared" si="148"/>
        <v>16018.487999999998</v>
      </c>
      <c r="K180" s="120">
        <f t="shared" si="148"/>
        <v>16095.357999999997</v>
      </c>
      <c r="L180" s="99"/>
      <c r="P180" s="72"/>
    </row>
    <row r="181" spans="2:16" ht="12.75">
      <c r="B181" s="82"/>
      <c r="C181" s="2"/>
      <c r="D181" s="83"/>
      <c r="E181" s="78"/>
      <c r="F181" s="91"/>
      <c r="G181" s="121"/>
      <c r="H181" s="121"/>
      <c r="I181" s="121"/>
      <c r="J181" s="121"/>
      <c r="K181" s="122"/>
      <c r="L181" s="99"/>
      <c r="P181" s="72"/>
    </row>
    <row r="182" spans="2:16" ht="12.75">
      <c r="B182" s="82"/>
      <c r="C182" s="2"/>
      <c r="D182" s="83">
        <f>$F$148+0.5%</f>
        <v>0.04</v>
      </c>
      <c r="E182" s="78">
        <f>$D$148-0.5%</f>
        <v>0.026</v>
      </c>
      <c r="F182" s="91">
        <f>$E$148-0.5%</f>
        <v>0.054</v>
      </c>
      <c r="G182" s="118">
        <f aca="true" t="shared" si="149" ref="G182:K184">($Q$145*($D182*100)+$R$145*($E182*100)*(1-$D182)+$S$145*($F182*100)*(1-$D182)+(350-G$157)*$AA$145)*$D$152</f>
        <v>13584.899999999998</v>
      </c>
      <c r="H182" s="119">
        <f t="shared" si="149"/>
        <v>13661.769999999999</v>
      </c>
      <c r="I182" s="119">
        <f t="shared" si="149"/>
        <v>13738.639999999998</v>
      </c>
      <c r="J182" s="119">
        <f t="shared" si="149"/>
        <v>13815.509999999998</v>
      </c>
      <c r="K182" s="120">
        <f t="shared" si="149"/>
        <v>13892.38</v>
      </c>
      <c r="L182" s="99"/>
      <c r="P182" s="72"/>
    </row>
    <row r="183" spans="2:16" ht="12.75">
      <c r="B183" s="82"/>
      <c r="C183" s="2"/>
      <c r="D183" s="83">
        <f>D182</f>
        <v>0.04</v>
      </c>
      <c r="E183" s="78">
        <f>E182</f>
        <v>0.026</v>
      </c>
      <c r="F183" s="91">
        <f>$E$148</f>
        <v>0.059</v>
      </c>
      <c r="G183" s="118">
        <f t="shared" si="149"/>
        <v>13678.307999999997</v>
      </c>
      <c r="H183" s="119">
        <f t="shared" si="149"/>
        <v>13755.178</v>
      </c>
      <c r="I183" s="119">
        <f t="shared" si="149"/>
        <v>13832.047999999999</v>
      </c>
      <c r="J183" s="119">
        <f t="shared" si="149"/>
        <v>13908.917999999998</v>
      </c>
      <c r="K183" s="120">
        <f t="shared" si="149"/>
        <v>13985.787999999999</v>
      </c>
      <c r="L183" s="99"/>
      <c r="P183" s="72"/>
    </row>
    <row r="184" spans="2:16" ht="12.75">
      <c r="B184" s="82"/>
      <c r="C184" s="2"/>
      <c r="D184" s="83">
        <f>D183</f>
        <v>0.04</v>
      </c>
      <c r="E184" s="78">
        <f>E183</f>
        <v>0.026</v>
      </c>
      <c r="F184" s="91">
        <f>$E$148+0.5%</f>
        <v>0.064</v>
      </c>
      <c r="G184" s="118">
        <f t="shared" si="149"/>
        <v>13771.715999999999</v>
      </c>
      <c r="H184" s="119">
        <f t="shared" si="149"/>
        <v>13848.586</v>
      </c>
      <c r="I184" s="119">
        <f t="shared" si="149"/>
        <v>13925.455999999998</v>
      </c>
      <c r="J184" s="119">
        <f t="shared" si="149"/>
        <v>14002.326</v>
      </c>
      <c r="K184" s="120">
        <f t="shared" si="149"/>
        <v>14079.196</v>
      </c>
      <c r="L184" s="99"/>
      <c r="P184" s="72"/>
    </row>
    <row r="185" spans="2:16" ht="12.75">
      <c r="B185" s="82"/>
      <c r="C185" s="2"/>
      <c r="D185" s="83"/>
      <c r="E185" s="78"/>
      <c r="F185" s="91"/>
      <c r="G185" s="121"/>
      <c r="H185" s="121"/>
      <c r="I185" s="121"/>
      <c r="J185" s="121"/>
      <c r="K185" s="122"/>
      <c r="L185" s="99"/>
      <c r="P185" s="72"/>
    </row>
    <row r="186" spans="2:16" ht="12.75">
      <c r="B186" s="82"/>
      <c r="C186" s="2"/>
      <c r="D186" s="83">
        <f>$F$148+0.5%</f>
        <v>0.04</v>
      </c>
      <c r="E186" s="78">
        <f>$D$148</f>
        <v>0.031</v>
      </c>
      <c r="F186" s="91">
        <f>$E$148-0.5%</f>
        <v>0.054</v>
      </c>
      <c r="G186" s="118">
        <f aca="true" t="shared" si="150" ref="G186:K188">($Q$145*($D186*100)+$R$145*($E186*100)*(1-$D186)+$S$145*($F186*100)*(1-$D186)+(350-G$157)*$AA$145)*$D$152</f>
        <v>14924.867999999997</v>
      </c>
      <c r="H186" s="119">
        <f t="shared" si="150"/>
        <v>15001.737999999998</v>
      </c>
      <c r="I186" s="119">
        <f t="shared" si="150"/>
        <v>15078.607999999997</v>
      </c>
      <c r="J186" s="119">
        <f t="shared" si="150"/>
        <v>15155.477999999997</v>
      </c>
      <c r="K186" s="120">
        <f t="shared" si="150"/>
        <v>15232.347999999998</v>
      </c>
      <c r="L186" s="99"/>
      <c r="P186" s="72"/>
    </row>
    <row r="187" spans="2:12" ht="12.75">
      <c r="B187" s="82"/>
      <c r="C187" s="2"/>
      <c r="D187" s="83">
        <f>D186</f>
        <v>0.04</v>
      </c>
      <c r="E187" s="78">
        <f>E186</f>
        <v>0.031</v>
      </c>
      <c r="F187" s="91">
        <f>$E$148</f>
        <v>0.059</v>
      </c>
      <c r="G187" s="118">
        <f t="shared" si="150"/>
        <v>15018.275999999996</v>
      </c>
      <c r="H187" s="119">
        <f t="shared" si="150"/>
        <v>15095.145999999999</v>
      </c>
      <c r="I187" s="119">
        <f t="shared" si="150"/>
        <v>15172.015999999998</v>
      </c>
      <c r="J187" s="119">
        <f t="shared" si="150"/>
        <v>15248.885999999997</v>
      </c>
      <c r="K187" s="120">
        <f t="shared" si="150"/>
        <v>15325.755999999998</v>
      </c>
      <c r="L187" s="99"/>
    </row>
    <row r="188" spans="2:12" ht="12.75">
      <c r="B188" s="82"/>
      <c r="C188" s="2"/>
      <c r="D188" s="83">
        <f>D187</f>
        <v>0.04</v>
      </c>
      <c r="E188" s="78">
        <f>E187</f>
        <v>0.031</v>
      </c>
      <c r="F188" s="91">
        <f>$E$148+0.5%</f>
        <v>0.064</v>
      </c>
      <c r="G188" s="118">
        <f t="shared" si="150"/>
        <v>15111.683999999997</v>
      </c>
      <c r="H188" s="119">
        <f t="shared" si="150"/>
        <v>15188.553999999998</v>
      </c>
      <c r="I188" s="119">
        <f t="shared" si="150"/>
        <v>15265.423999999997</v>
      </c>
      <c r="J188" s="119">
        <f t="shared" si="150"/>
        <v>15342.293999999998</v>
      </c>
      <c r="K188" s="120">
        <f t="shared" si="150"/>
        <v>15419.163999999999</v>
      </c>
      <c r="L188" s="99"/>
    </row>
    <row r="189" spans="2:12" ht="12.75">
      <c r="B189" s="82"/>
      <c r="C189" s="2"/>
      <c r="D189" s="83"/>
      <c r="E189" s="78"/>
      <c r="F189" s="91"/>
      <c r="G189" s="121"/>
      <c r="H189" s="121"/>
      <c r="I189" s="121"/>
      <c r="J189" s="121"/>
      <c r="K189" s="122"/>
      <c r="L189" s="99"/>
    </row>
    <row r="190" spans="2:12" ht="12.75">
      <c r="B190" s="82"/>
      <c r="C190" s="2"/>
      <c r="D190" s="83">
        <f>$F$148+0.5%</f>
        <v>0.04</v>
      </c>
      <c r="E190" s="78">
        <f>$D$148+0.5%</f>
        <v>0.036</v>
      </c>
      <c r="F190" s="91">
        <f>$E$148-0.5%</f>
        <v>0.054</v>
      </c>
      <c r="G190" s="118">
        <f aca="true" t="shared" si="151" ref="G190:K192">($Q$145*($D190*100)+$R$145*($E190*100)*(1-$D190)+$S$145*($F190*100)*(1-$D190)+(350-G$157)*$AA$145)*$D$152</f>
        <v>16264.836</v>
      </c>
      <c r="H190" s="119">
        <f t="shared" si="151"/>
        <v>16341.705999999998</v>
      </c>
      <c r="I190" s="119">
        <f t="shared" si="151"/>
        <v>16418.575999999997</v>
      </c>
      <c r="J190" s="119">
        <f t="shared" si="151"/>
        <v>16495.445999999996</v>
      </c>
      <c r="K190" s="120">
        <f t="shared" si="151"/>
        <v>16572.316</v>
      </c>
      <c r="L190" s="99"/>
    </row>
    <row r="191" spans="2:12" ht="12.75">
      <c r="B191" s="82"/>
      <c r="C191" s="2"/>
      <c r="D191" s="83">
        <f>D190</f>
        <v>0.04</v>
      </c>
      <c r="E191" s="78">
        <f>E190</f>
        <v>0.036</v>
      </c>
      <c r="F191" s="91">
        <f>$E$148</f>
        <v>0.059</v>
      </c>
      <c r="G191" s="118">
        <f t="shared" si="151"/>
        <v>16358.243999999999</v>
      </c>
      <c r="H191" s="119">
        <f t="shared" si="151"/>
        <v>16435.113999999998</v>
      </c>
      <c r="I191" s="119">
        <f t="shared" si="151"/>
        <v>16511.983999999997</v>
      </c>
      <c r="J191" s="119">
        <f t="shared" si="151"/>
        <v>16588.854</v>
      </c>
      <c r="K191" s="120">
        <f t="shared" si="151"/>
        <v>16665.724</v>
      </c>
      <c r="L191" s="99"/>
    </row>
    <row r="192" spans="2:12" ht="13.5" thickBot="1">
      <c r="B192" s="82"/>
      <c r="C192" s="2"/>
      <c r="D192" s="85">
        <f>D191</f>
        <v>0.04</v>
      </c>
      <c r="E192" s="86">
        <f>E191</f>
        <v>0.036</v>
      </c>
      <c r="F192" s="93">
        <f>$E$148+0.5%</f>
        <v>0.064</v>
      </c>
      <c r="G192" s="126">
        <f t="shared" si="151"/>
        <v>16451.652</v>
      </c>
      <c r="H192" s="127">
        <f t="shared" si="151"/>
        <v>16528.521999999997</v>
      </c>
      <c r="I192" s="127">
        <f t="shared" si="151"/>
        <v>16605.392</v>
      </c>
      <c r="J192" s="127">
        <f t="shared" si="151"/>
        <v>16682.262</v>
      </c>
      <c r="K192" s="128">
        <f t="shared" si="151"/>
        <v>16759.131999999998</v>
      </c>
      <c r="L192" s="99"/>
    </row>
    <row r="193" spans="2:12" ht="13.5" thickBot="1">
      <c r="B193" s="136" t="s">
        <v>43</v>
      </c>
      <c r="C193" s="137"/>
      <c r="D193" s="137"/>
      <c r="E193" s="137"/>
      <c r="F193" s="137"/>
      <c r="G193" s="137"/>
      <c r="H193" s="137"/>
      <c r="I193" s="137"/>
      <c r="J193" s="137"/>
      <c r="K193" s="137"/>
      <c r="L193" s="138"/>
    </row>
  </sheetData>
  <sheetProtection sheet="1"/>
  <mergeCells count="70">
    <mergeCell ref="C3:R3"/>
    <mergeCell ref="P4:R4"/>
    <mergeCell ref="D4:G4"/>
    <mergeCell ref="C5:C7"/>
    <mergeCell ref="D5:D7"/>
    <mergeCell ref="E5:E7"/>
    <mergeCell ref="H4:O4"/>
    <mergeCell ref="K5:K7"/>
    <mergeCell ref="L5:L7"/>
    <mergeCell ref="F5:F7"/>
    <mergeCell ref="N5:N7"/>
    <mergeCell ref="Q5:Q7"/>
    <mergeCell ref="P5:P7"/>
    <mergeCell ref="P40:R40"/>
    <mergeCell ref="H40:O40"/>
    <mergeCell ref="C36:L36"/>
    <mergeCell ref="J5:J7"/>
    <mergeCell ref="C39:R39"/>
    <mergeCell ref="R5:R7"/>
    <mergeCell ref="K41:K43"/>
    <mergeCell ref="M5:M7"/>
    <mergeCell ref="O5:O7"/>
    <mergeCell ref="R41:R43"/>
    <mergeCell ref="L41:L43"/>
    <mergeCell ref="G5:G7"/>
    <mergeCell ref="I41:I43"/>
    <mergeCell ref="J41:J43"/>
    <mergeCell ref="H5:H7"/>
    <mergeCell ref="I5:I7"/>
    <mergeCell ref="O41:O43"/>
    <mergeCell ref="C90:R90"/>
    <mergeCell ref="E41:E43"/>
    <mergeCell ref="Q41:Q43"/>
    <mergeCell ref="F41:F43"/>
    <mergeCell ref="G41:G43"/>
    <mergeCell ref="D40:G40"/>
    <mergeCell ref="C38:R38"/>
    <mergeCell ref="P41:P43"/>
    <mergeCell ref="H41:H43"/>
    <mergeCell ref="C41:C43"/>
    <mergeCell ref="D41:D43"/>
    <mergeCell ref="D111:R111"/>
    <mergeCell ref="D112:G112"/>
    <mergeCell ref="H112:O112"/>
    <mergeCell ref="P112:R112"/>
    <mergeCell ref="M41:M43"/>
    <mergeCell ref="N41:N43"/>
    <mergeCell ref="Q113:Q115"/>
    <mergeCell ref="R113:R115"/>
    <mergeCell ref="M113:M115"/>
    <mergeCell ref="N113:N115"/>
    <mergeCell ref="O113:O115"/>
    <mergeCell ref="P113:P115"/>
    <mergeCell ref="I113:I115"/>
    <mergeCell ref="J113:J115"/>
    <mergeCell ref="K113:K115"/>
    <mergeCell ref="L113:L115"/>
    <mergeCell ref="C113:C115"/>
    <mergeCell ref="D113:D115"/>
    <mergeCell ref="E113:E115"/>
    <mergeCell ref="F113:F115"/>
    <mergeCell ref="G113:G115"/>
    <mergeCell ref="H113:H115"/>
    <mergeCell ref="B193:L193"/>
    <mergeCell ref="D146:G146"/>
    <mergeCell ref="G156:K156"/>
    <mergeCell ref="D154:K154"/>
    <mergeCell ref="B136:L136"/>
    <mergeCell ref="D141:G141"/>
    <mergeCell ref="I141:K142"/>
  </mergeCells>
  <conditionalFormatting sqref="G158:K192">
    <cfRule type="top10" priority="1" dxfId="1" stopIfTrue="1" rank="10" bottom="1"/>
    <cfRule type="top10" priority="2" dxfId="0" stopIfTrue="1" rank="10"/>
  </conditionalFormatting>
  <printOptions/>
  <pageMargins left="0.75" right="0.75" top="1" bottom="1" header="0.5" footer="0.5"/>
  <pageSetup fitToHeight="1" fitToWidth="1" horizontalDpi="300" verticalDpi="300" orientation="portrait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Gould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W. Gould</dc:creator>
  <cp:keywords/>
  <dc:description/>
  <cp:lastModifiedBy>vcabrera</cp:lastModifiedBy>
  <cp:lastPrinted>2010-02-22T14:00:37Z</cp:lastPrinted>
  <dcterms:created xsi:type="dcterms:W3CDTF">1999-09-19T16:02:55Z</dcterms:created>
  <dcterms:modified xsi:type="dcterms:W3CDTF">2010-02-22T16:03:03Z</dcterms:modified>
  <cp:category/>
  <cp:version/>
  <cp:contentType/>
  <cp:contentStatus/>
</cp:coreProperties>
</file>